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30" windowHeight="6600" activeTab="1"/>
  </bookViews>
  <sheets>
    <sheet name="ﾏﾆｭｱﾙ" sheetId="1" r:id="rId1"/>
    <sheet name="1次日程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G" sheetId="9" r:id="rId9"/>
    <sheet name="H" sheetId="10" r:id="rId10"/>
    <sheet name="2次ﾄｰﾅﾒﾝﾄ" sheetId="11" r:id="rId11"/>
    <sheet name="MatchTable" sheetId="12" r:id="rId12"/>
    <sheet name="Teams" sheetId="13" r:id="rId13"/>
    <sheet name="Venue" sheetId="14" r:id="rId14"/>
    <sheet name="Link" sheetId="15" r:id="rId15"/>
  </sheets>
  <definedNames>
    <definedName name="TABLE" localSheetId="1">'1次日程'!$B$3:$L$51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<sst xmlns="http://schemas.openxmlformats.org/spreadsheetml/2006/main" count="890" uniqueCount="441">
  <si>
    <t>組</t>
  </si>
  <si>
    <t>チーム名</t>
  </si>
  <si>
    <t>(略称)</t>
  </si>
  <si>
    <t>得点計</t>
  </si>
  <si>
    <t>失点計</t>
  </si>
  <si>
    <t>勝点計</t>
  </si>
  <si>
    <t>得失差</t>
  </si>
  <si>
    <t>勝</t>
  </si>
  <si>
    <t>分</t>
  </si>
  <si>
    <t>負</t>
  </si>
  <si>
    <t>順位</t>
  </si>
  <si>
    <t>　↓この列を入力</t>
  </si>
  <si>
    <t>対</t>
  </si>
  <si>
    <t>得点</t>
  </si>
  <si>
    <t>失点</t>
  </si>
  <si>
    <t>勝点</t>
  </si>
  <si>
    <t>会場</t>
  </si>
  <si>
    <t>組</t>
  </si>
  <si>
    <t>対戦</t>
  </si>
  <si>
    <t>【著作権表示】</t>
  </si>
  <si>
    <t>PK</t>
  </si>
  <si>
    <t>ﾏｯﾁ
No.</t>
  </si>
  <si>
    <t>準々決勝進出</t>
  </si>
  <si>
    <t>よしだ はじめ</t>
  </si>
  <si>
    <t>確定順位</t>
  </si>
  <si>
    <t>日本</t>
  </si>
  <si>
    <t>A</t>
  </si>
  <si>
    <t>B</t>
  </si>
  <si>
    <t>確定順位</t>
  </si>
  <si>
    <t>C</t>
  </si>
  <si>
    <t>D</t>
  </si>
  <si>
    <t>E</t>
  </si>
  <si>
    <t>F</t>
  </si>
  <si>
    <t>組</t>
  </si>
  <si>
    <t>チーム名</t>
  </si>
  <si>
    <t>(略称)</t>
  </si>
  <si>
    <t>得点計</t>
  </si>
  <si>
    <t>失点計</t>
  </si>
  <si>
    <t>勝点計</t>
  </si>
  <si>
    <t>得失差</t>
  </si>
  <si>
    <t>勝</t>
  </si>
  <si>
    <t>分</t>
  </si>
  <si>
    <t>負</t>
  </si>
  <si>
    <t>順位</t>
  </si>
  <si>
    <t>　↓この列を入力</t>
  </si>
  <si>
    <t>対</t>
  </si>
  <si>
    <t>得点</t>
  </si>
  <si>
    <t>失点</t>
  </si>
  <si>
    <t>勝点</t>
  </si>
  <si>
    <t>G</t>
  </si>
  <si>
    <t>H</t>
  </si>
  <si>
    <t>現地</t>
  </si>
  <si>
    <t>現在</t>
  </si>
  <si>
    <t>－</t>
  </si>
  <si>
    <t>略称</t>
  </si>
  <si>
    <t>開催地</t>
  </si>
  <si>
    <t>Mexico</t>
  </si>
  <si>
    <t>France</t>
  </si>
  <si>
    <t>Argentina</t>
  </si>
  <si>
    <t>Nigeria</t>
  </si>
  <si>
    <t>Korea Republic</t>
  </si>
  <si>
    <t>Greece</t>
  </si>
  <si>
    <t>England</t>
  </si>
  <si>
    <t>USA</t>
  </si>
  <si>
    <t>Algeria</t>
  </si>
  <si>
    <t>Germany</t>
  </si>
  <si>
    <t>Australia</t>
  </si>
  <si>
    <t>Ghana</t>
  </si>
  <si>
    <t>Netherlands</t>
  </si>
  <si>
    <t>Japan</t>
  </si>
  <si>
    <t>Cameroon</t>
  </si>
  <si>
    <t>Italy</t>
  </si>
  <si>
    <t>Portugal</t>
  </si>
  <si>
    <t>Brazil</t>
  </si>
  <si>
    <t>Honduras</t>
  </si>
  <si>
    <t>Chile</t>
  </si>
  <si>
    <t>Spain</t>
  </si>
  <si>
    <t>Switzerland</t>
  </si>
  <si>
    <t>日刊スポーツ</t>
  </si>
  <si>
    <t>FIFA official site</t>
  </si>
  <si>
    <t>Venue</t>
  </si>
  <si>
    <t>毎日新聞</t>
  </si>
  <si>
    <t>朝日新聞</t>
  </si>
  <si>
    <t>読売新聞</t>
  </si>
  <si>
    <t>ＮＨＫ</t>
  </si>
  <si>
    <t>スポーツニッポン</t>
  </si>
  <si>
    <t xml:space="preserve">  Kick Off</t>
  </si>
  <si>
    <t>地域</t>
  </si>
  <si>
    <t>ｸﾞﾙｰﾌﾟ</t>
  </si>
  <si>
    <t>ｸﾞﾙｰﾌﾟ+No</t>
  </si>
  <si>
    <t>略名</t>
  </si>
  <si>
    <t>チーム名（日本語）</t>
  </si>
  <si>
    <t>チーム名（英語）</t>
  </si>
  <si>
    <t>仮</t>
  </si>
  <si>
    <t>作：</t>
  </si>
  <si>
    <t>【目的】</t>
  </si>
  <si>
    <t>自分のために作ったものですが，使って頂ければうれしいです．</t>
  </si>
  <si>
    <t>【機能】</t>
  </si>
  <si>
    <t>チームの得点を入力するだけで，勝敗，順位の判定をします．</t>
  </si>
  <si>
    <t>１次リーグから勝ち上がったチームを自動的に２次トーナメントの対戦で表示します．</t>
  </si>
  <si>
    <t>(1)</t>
  </si>
  <si>
    <t>「1次日程」シートの得点と「各組のシート」の得点はリンクしていません．</t>
  </si>
  <si>
    <t>(2)</t>
  </si>
  <si>
    <t>1次グループリーグの順位判定は</t>
  </si>
  <si>
    <t>①勝ち点，②得失点差，③総得点</t>
  </si>
  <si>
    <t>で，行っています．</t>
  </si>
  <si>
    <t>それ以下の判定条件で順位が決定されたときは，</t>
  </si>
  <si>
    <t>不具合があっても，訂正する義務は負いませんが，なるべく知らせてください．</t>
  </si>
  <si>
    <t>利用に伴う損害に対して，作者はいっさい関知しません．</t>
  </si>
  <si>
    <t>http://samuraiblue.jp/</t>
  </si>
  <si>
    <t>日本代表チーム</t>
  </si>
  <si>
    <t>Grp.</t>
  </si>
  <si>
    <t>Match#</t>
  </si>
  <si>
    <t>KickOff</t>
  </si>
  <si>
    <t>Venue</t>
  </si>
  <si>
    <t>ﾏｯﾁNo.</t>
  </si>
  <si>
    <t>Kick Off</t>
  </si>
  <si>
    <r>
      <t>(上現地，</t>
    </r>
    <r>
      <rPr>
        <b/>
        <sz val="10"/>
        <rFont val="ＭＳ Ｐゴシック"/>
        <family val="3"/>
      </rPr>
      <t>下日本</t>
    </r>
    <r>
      <rPr>
        <sz val="10"/>
        <rFont val="ＭＳ Ｐゴシック"/>
        <family val="3"/>
      </rPr>
      <t>)</t>
    </r>
  </si>
  <si>
    <t>Group League</t>
  </si>
  <si>
    <t>Sorted by Match#</t>
  </si>
  <si>
    <t>KickOff (JST)</t>
  </si>
  <si>
    <t>F</t>
  </si>
  <si>
    <t>Teams</t>
  </si>
  <si>
    <t>Sorted by Team name (English)</t>
  </si>
  <si>
    <t>QF</t>
  </si>
  <si>
    <t>SF</t>
  </si>
  <si>
    <t>R16</t>
  </si>
  <si>
    <t>A1</t>
  </si>
  <si>
    <t>B2</t>
  </si>
  <si>
    <t>C1</t>
  </si>
  <si>
    <t>D2</t>
  </si>
  <si>
    <t>D1</t>
  </si>
  <si>
    <t>B1</t>
  </si>
  <si>
    <t>C2</t>
  </si>
  <si>
    <t>A2</t>
  </si>
  <si>
    <t>E1</t>
  </si>
  <si>
    <t>G1</t>
  </si>
  <si>
    <t>F1</t>
  </si>
  <si>
    <t>H1</t>
  </si>
  <si>
    <t>F2</t>
  </si>
  <si>
    <t>H2</t>
  </si>
  <si>
    <t>E2</t>
  </si>
  <si>
    <t>G2</t>
  </si>
  <si>
    <t>W53</t>
  </si>
  <si>
    <t>W54</t>
  </si>
  <si>
    <t>W49</t>
  </si>
  <si>
    <t>W50</t>
  </si>
  <si>
    <t>W52</t>
  </si>
  <si>
    <t>W51</t>
  </si>
  <si>
    <t>W55</t>
  </si>
  <si>
    <t>W56</t>
  </si>
  <si>
    <t>W58</t>
  </si>
  <si>
    <t>W57</t>
  </si>
  <si>
    <t>W59</t>
  </si>
  <si>
    <t>W60</t>
  </si>
  <si>
    <t>L61</t>
  </si>
  <si>
    <t>L62</t>
  </si>
  <si>
    <t>W61</t>
  </si>
  <si>
    <t>W62</t>
  </si>
  <si>
    <r>
      <t>現地時間</t>
    </r>
    <r>
      <rPr>
        <b/>
        <sz val="11"/>
        <rFont val="ＭＳ Ｐゴシック"/>
        <family val="3"/>
      </rPr>
      <t xml:space="preserve">
日本時間</t>
    </r>
  </si>
  <si>
    <t>ﾏｯﾁ
No.</t>
  </si>
  <si>
    <t>組&amp;順位</t>
  </si>
  <si>
    <t>(略称)</t>
  </si>
  <si>
    <t>判定</t>
  </si>
  <si>
    <t>準決勝進出</t>
  </si>
  <si>
    <t>W49</t>
  </si>
  <si>
    <t>W50</t>
  </si>
  <si>
    <t>W53</t>
  </si>
  <si>
    <t>W54</t>
  </si>
  <si>
    <t>W51</t>
  </si>
  <si>
    <t>W52</t>
  </si>
  <si>
    <t>W55</t>
  </si>
  <si>
    <t>W56</t>
  </si>
  <si>
    <t>決勝進出</t>
  </si>
  <si>
    <t>W57</t>
  </si>
  <si>
    <t>W58</t>
  </si>
  <si>
    <t>W59</t>
  </si>
  <si>
    <t>W60</t>
  </si>
  <si>
    <t>3位決定戦</t>
  </si>
  <si>
    <t>３位決定戦</t>
  </si>
  <si>
    <t>３位</t>
  </si>
  <si>
    <t>L61</t>
  </si>
  <si>
    <t>L62</t>
  </si>
  <si>
    <t>決勝</t>
  </si>
  <si>
    <t>優勝</t>
  </si>
  <si>
    <t>W61</t>
  </si>
  <si>
    <t>W62</t>
  </si>
  <si>
    <t>【開発履歴】</t>
  </si>
  <si>
    <t>ワールドカップ ドイツ大会用に作成．</t>
  </si>
  <si>
    <t>ワールドカップ 南アフリカ大会用に改訂．</t>
  </si>
  <si>
    <t>2006年 6月</t>
  </si>
  <si>
    <t>2010年 6月</t>
  </si>
  <si>
    <t>Webサイト</t>
  </si>
  <si>
    <t>【開発環境】</t>
  </si>
  <si>
    <t>日付時間の表示形式に mm/dd hh:mm を追加（ユーザー定義）しています．</t>
  </si>
  <si>
    <t>新聞，雑誌，Ｗｅｂ等々に対戦表はあっても，自分で記録するにはＥｘｃｅｌ のような</t>
  </si>
  <si>
    <t>電子的な表が便利です．Excelなら勝敗のシミュレーションにも便利です．</t>
  </si>
  <si>
    <t>← ここが 06/11 20:31 と表示されればＯＫ．</t>
  </si>
  <si>
    <t>（たとえば，グループ内のすべての試合が 0-0 で，</t>
  </si>
  <si>
    <t>該当する組のページの先頭行のセル（右図参照）を</t>
  </si>
  <si>
    <t>各組の英大文字＋順位の数字を１バイト</t>
  </si>
  <si>
    <t>【制限事項など】</t>
  </si>
  <si>
    <t>いくつかのシートには保護をかけてありますが，バスワードは設定してありません．</t>
  </si>
  <si>
    <t>日本国外で利用の場合など，データを変更したい場合には，ご自由に．</t>
  </si>
  <si>
    <t>ご利用のコンピュータでも追加登録が必要かもしれませんが，</t>
  </si>
  <si>
    <t>表示形式が異なるだけですから・・・</t>
  </si>
  <si>
    <t>　抽選により決まった，など）</t>
  </si>
  <si>
    <t>自分で書き換えてください．</t>
  </si>
  <si>
    <t>(半角)文字で指定します．</t>
  </si>
  <si>
    <t>↑</t>
  </si>
  <si>
    <t>(3)</t>
  </si>
  <si>
    <t>(4)</t>
  </si>
  <si>
    <t>作者は著作権は放棄しませんが，利用・改変はご自由にどうぞ．</t>
  </si>
  <si>
    <t>(5)</t>
  </si>
  <si>
    <t>現在時刻の更新をしていますので，何も入力しなくても，閉じるときに更新確認がでます．</t>
  </si>
  <si>
    <t>2014 FIFAワールドカップ 勝敗記録表 for Excel</t>
  </si>
  <si>
    <t>Ver.2.1 ：</t>
  </si>
  <si>
    <t>Belo Horizonte</t>
  </si>
  <si>
    <t>Brasilia</t>
  </si>
  <si>
    <t>Cuiaba</t>
  </si>
  <si>
    <t>Curitiba</t>
  </si>
  <si>
    <t>Fortaleza</t>
  </si>
  <si>
    <t>Manaus</t>
  </si>
  <si>
    <t>Natal</t>
  </si>
  <si>
    <t>Porto Alegre</t>
  </si>
  <si>
    <t>Recife</t>
  </si>
  <si>
    <t>Rio de Janeiro</t>
  </si>
  <si>
    <t>Salvador</t>
  </si>
  <si>
    <t>Sao Paulo</t>
  </si>
  <si>
    <t>サンパウロ</t>
  </si>
  <si>
    <t>サルパドル</t>
  </si>
  <si>
    <t>リオデジャネイロ</t>
  </si>
  <si>
    <t>レシフェ</t>
  </si>
  <si>
    <t>ポルトアレグレ</t>
  </si>
  <si>
    <t>ナタル</t>
  </si>
  <si>
    <t>ブラジリア</t>
  </si>
  <si>
    <t>クイアバ</t>
  </si>
  <si>
    <t>マナウス</t>
  </si>
  <si>
    <t>クリチバ</t>
  </si>
  <si>
    <t>開催国</t>
  </si>
  <si>
    <t>ブラジル</t>
  </si>
  <si>
    <t>BRA</t>
  </si>
  <si>
    <t>A</t>
  </si>
  <si>
    <t>A1</t>
  </si>
  <si>
    <t>CAF</t>
  </si>
  <si>
    <t>アルジェリア</t>
  </si>
  <si>
    <t>ALG</t>
  </si>
  <si>
    <t>H</t>
  </si>
  <si>
    <t>H2</t>
  </si>
  <si>
    <t>カメルーン</t>
  </si>
  <si>
    <t>CMR</t>
  </si>
  <si>
    <t>A4</t>
  </si>
  <si>
    <t>Co^te d'Ivoire</t>
  </si>
  <si>
    <t>CIV</t>
  </si>
  <si>
    <t>C</t>
  </si>
  <si>
    <t>C3</t>
  </si>
  <si>
    <t>ガーナ</t>
  </si>
  <si>
    <t>GHA</t>
  </si>
  <si>
    <t>G</t>
  </si>
  <si>
    <t>G3</t>
  </si>
  <si>
    <t>ナイジェリア</t>
  </si>
  <si>
    <t>NGA</t>
  </si>
  <si>
    <t>F</t>
  </si>
  <si>
    <t>F4</t>
  </si>
  <si>
    <t>AFC</t>
  </si>
  <si>
    <t>オーストラリア</t>
  </si>
  <si>
    <t>AUS</t>
  </si>
  <si>
    <t>B</t>
  </si>
  <si>
    <t>B4</t>
  </si>
  <si>
    <t>AFC</t>
  </si>
  <si>
    <t>イラン</t>
  </si>
  <si>
    <t>Iran</t>
  </si>
  <si>
    <t>IRN</t>
  </si>
  <si>
    <t>F3</t>
  </si>
  <si>
    <t>日本</t>
  </si>
  <si>
    <t>JPN</t>
  </si>
  <si>
    <t>C</t>
  </si>
  <si>
    <t>C4</t>
  </si>
  <si>
    <t>韓国</t>
  </si>
  <si>
    <t>KOR</t>
  </si>
  <si>
    <t>H</t>
  </si>
  <si>
    <t>H4</t>
  </si>
  <si>
    <t>UEFA</t>
  </si>
  <si>
    <t>ベルギー</t>
  </si>
  <si>
    <t>Belgium</t>
  </si>
  <si>
    <t>BEL</t>
  </si>
  <si>
    <t>H1</t>
  </si>
  <si>
    <t>Bosnia-Herzegovina</t>
  </si>
  <si>
    <t>BIH</t>
  </si>
  <si>
    <t>F</t>
  </si>
  <si>
    <t>F2</t>
  </si>
  <si>
    <t>クロアチア</t>
  </si>
  <si>
    <t>Croatia</t>
  </si>
  <si>
    <t>CRO</t>
  </si>
  <si>
    <t>A</t>
  </si>
  <si>
    <t>A2</t>
  </si>
  <si>
    <t>イングランド</t>
  </si>
  <si>
    <t>ENG</t>
  </si>
  <si>
    <t>D</t>
  </si>
  <si>
    <t>D3</t>
  </si>
  <si>
    <t>フランス</t>
  </si>
  <si>
    <t>FRA</t>
  </si>
  <si>
    <t>E</t>
  </si>
  <si>
    <t>E3</t>
  </si>
  <si>
    <t>ドイツ</t>
  </si>
  <si>
    <t>GER</t>
  </si>
  <si>
    <t>G</t>
  </si>
  <si>
    <t>G1</t>
  </si>
  <si>
    <t>ギリシア</t>
  </si>
  <si>
    <t>GRE</t>
  </si>
  <si>
    <t>C</t>
  </si>
  <si>
    <t>C2</t>
  </si>
  <si>
    <t>イタリア</t>
  </si>
  <si>
    <t>ITA</t>
  </si>
  <si>
    <t>D4</t>
  </si>
  <si>
    <t>オランダ</t>
  </si>
  <si>
    <t>NED</t>
  </si>
  <si>
    <t>B</t>
  </si>
  <si>
    <t>B2</t>
  </si>
  <si>
    <t>ポルトガル</t>
  </si>
  <si>
    <t>POR</t>
  </si>
  <si>
    <t>G2</t>
  </si>
  <si>
    <t>ロシア</t>
  </si>
  <si>
    <t>Russia</t>
  </si>
  <si>
    <t>RUS</t>
  </si>
  <si>
    <t>H3</t>
  </si>
  <si>
    <t>スペイン</t>
  </si>
  <si>
    <t>ESP</t>
  </si>
  <si>
    <t>B1</t>
  </si>
  <si>
    <t>スイス</t>
  </si>
  <si>
    <t>SUI</t>
  </si>
  <si>
    <t>E1</t>
  </si>
  <si>
    <t>CONCACAF</t>
  </si>
  <si>
    <t>コスタリカ</t>
  </si>
  <si>
    <t>Costa Rica</t>
  </si>
  <si>
    <t>CRC</t>
  </si>
  <si>
    <t>D2</t>
  </si>
  <si>
    <t>ホンジュラス</t>
  </si>
  <si>
    <t>HON</t>
  </si>
  <si>
    <t>E4</t>
  </si>
  <si>
    <t>メキシコ</t>
  </si>
  <si>
    <t>MEX</t>
  </si>
  <si>
    <t>A3</t>
  </si>
  <si>
    <t>アメリカ</t>
  </si>
  <si>
    <t>G4</t>
  </si>
  <si>
    <t>CONMEBOL</t>
  </si>
  <si>
    <t>アルゼンチン</t>
  </si>
  <si>
    <t>ARG</t>
  </si>
  <si>
    <t>F1</t>
  </si>
  <si>
    <t>チリ</t>
  </si>
  <si>
    <t>CHI</t>
  </si>
  <si>
    <t>B3</t>
  </si>
  <si>
    <t>コロンビア</t>
  </si>
  <si>
    <t>Colombia</t>
  </si>
  <si>
    <t>COL</t>
  </si>
  <si>
    <t>C1</t>
  </si>
  <si>
    <t>エクアドル</t>
  </si>
  <si>
    <t>ECU</t>
  </si>
  <si>
    <t>E2</t>
  </si>
  <si>
    <t>ウルグアイ</t>
  </si>
  <si>
    <t>Urguay</t>
  </si>
  <si>
    <t>URU</t>
  </si>
  <si>
    <t>D1</t>
  </si>
  <si>
    <t>ボスニア-ヘルツェコビナ</t>
  </si>
  <si>
    <t>ベロオリゾンテ</t>
  </si>
  <si>
    <t>フォルタレザ</t>
  </si>
  <si>
    <t>http://www.fifa.com/</t>
  </si>
  <si>
    <t>http://www.yomiuri.co.jp/wcup/2014/?from=ytop_ylist</t>
  </si>
  <si>
    <t>http://www.nikkansports.com/brazil2014/</t>
  </si>
  <si>
    <t>http://www.sponichi.co.jp/soccer_worldcup/2014/index.html</t>
  </si>
  <si>
    <t>http://www.nhk.or.jp/fifaworldcup2014/</t>
  </si>
  <si>
    <t>ブラジル</t>
  </si>
  <si>
    <t>クロアチア</t>
  </si>
  <si>
    <t>メキシコ</t>
  </si>
  <si>
    <t>カメルーン</t>
  </si>
  <si>
    <t>スペイン</t>
  </si>
  <si>
    <t>オランダ</t>
  </si>
  <si>
    <t>チリ</t>
  </si>
  <si>
    <t>オーストラリア</t>
  </si>
  <si>
    <t>コロンビア</t>
  </si>
  <si>
    <t>ギリシア</t>
  </si>
  <si>
    <t>日本</t>
  </si>
  <si>
    <t>ウルグアイ</t>
  </si>
  <si>
    <t>コスタリカ</t>
  </si>
  <si>
    <t>イングランド</t>
  </si>
  <si>
    <t>イタリア</t>
  </si>
  <si>
    <t>スイス</t>
  </si>
  <si>
    <t>エクアドル</t>
  </si>
  <si>
    <t>フランス</t>
  </si>
  <si>
    <t>ホンジュラス</t>
  </si>
  <si>
    <t>アルゼンチン</t>
  </si>
  <si>
    <t>ボスニア・ヘルツェコビナ</t>
  </si>
  <si>
    <t>イラン</t>
  </si>
  <si>
    <t>ナイジェリア</t>
  </si>
  <si>
    <t>ドイツ</t>
  </si>
  <si>
    <t>ポルトガル</t>
  </si>
  <si>
    <t>ガーナ</t>
  </si>
  <si>
    <t>アメリカ</t>
  </si>
  <si>
    <t>ベルギー</t>
  </si>
  <si>
    <t>アルジェリア</t>
  </si>
  <si>
    <t>ロシア</t>
  </si>
  <si>
    <t>韓国</t>
  </si>
  <si>
    <t>2014 FIFA ワールドカップ 1次リーグ</t>
  </si>
  <si>
    <t>B1</t>
  </si>
  <si>
    <t>A2</t>
  </si>
  <si>
    <t>D1</t>
  </si>
  <si>
    <t>C2</t>
  </si>
  <si>
    <t>2014 FIFA ワールドカップ</t>
  </si>
  <si>
    <t>Co^te d'Ivoire</t>
  </si>
  <si>
    <t>Bosnia-Herzegovina</t>
  </si>
  <si>
    <t>A</t>
  </si>
  <si>
    <t>B</t>
  </si>
  <si>
    <t>C</t>
  </si>
  <si>
    <t>D</t>
  </si>
  <si>
    <t>E</t>
  </si>
  <si>
    <t>F</t>
  </si>
  <si>
    <t>G</t>
  </si>
  <si>
    <t>H</t>
  </si>
  <si>
    <t>Vn.</t>
  </si>
  <si>
    <t>Vn.</t>
  </si>
  <si>
    <t>Ecuador</t>
  </si>
  <si>
    <t>Ecuador</t>
  </si>
  <si>
    <t>Cameroon</t>
  </si>
  <si>
    <t>Cameroon</t>
  </si>
  <si>
    <t>Portugal</t>
  </si>
  <si>
    <t>Portugal</t>
  </si>
  <si>
    <t>Spain</t>
  </si>
  <si>
    <t>Spain</t>
  </si>
  <si>
    <t>ΔUTC</t>
  </si>
  <si>
    <t>ΔUTC</t>
  </si>
  <si>
    <t>2014年 6月</t>
  </si>
  <si>
    <t>ワールドカップ ブラジル大会用に改訂．</t>
  </si>
  <si>
    <t>２次ﾄｰﾅﾒﾝﾄ 第１回戦 Round of 16</t>
  </si>
  <si>
    <t>準々決勝 Quarter final</t>
  </si>
  <si>
    <t>準決勝 Semi final</t>
  </si>
  <si>
    <t>【注】 現地時間は日付上の前日</t>
  </si>
  <si>
    <t>試合日</t>
  </si>
  <si>
    <t>(日本時間)</t>
  </si>
  <si>
    <t>コートジボワール</t>
  </si>
  <si>
    <t>コートジボワール</t>
  </si>
  <si>
    <t>時差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</si>
</sst>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[$-411]yyyy&quot;年&quot;m&quot;月&quot;d&quot;日&quot;\ dddd"/>
    <numFmt numFmtId="180" formatCode="yy/mm/dd"/>
    <numFmt numFmtId="181" formatCode="m&quot;月&quot;d&quot;日&quot;\ hh:mm"/>
    <numFmt numFmtId="182" formatCode="mmm\-dd\ hh:mm"/>
    <numFmt numFmtId="183" formatCode="mmm\ dd\ hh:mm"/>
    <numFmt numFmtId="184" formatCode="mm/dd\ hh:mm"/>
    <numFmt numFmtId="185" formatCode="m&quot;月&quot;d&quot;日&quot;;@"/>
    <numFmt numFmtId="186" formatCode="h:mm;@"/>
  </numFmts>
  <fonts count="42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b/>
      <sz val="16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4"/>
      <name val="ＭＳ Ｐゴシック"/>
      <family val="3"/>
    </font>
    <font>
      <sz val="18"/>
      <name val="Arial Black"/>
      <family val="2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55"/>
      <name val="ＭＳ Ｐゴシック"/>
      <family val="3"/>
    </font>
    <font>
      <sz val="9"/>
      <color indexed="55"/>
      <name val="ＭＳ Ｐゴシック"/>
      <family val="3"/>
    </font>
    <font>
      <sz val="10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12"/>
      <color indexed="8"/>
      <name val="Century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Century"/>
      <family val="1"/>
    </font>
    <font>
      <sz val="11"/>
      <color indexed="8"/>
      <name val="ＭＳ Ｐゴシック"/>
      <family val="3"/>
    </font>
    <font>
      <b/>
      <sz val="11"/>
      <color indexed="18"/>
      <name val="ＭＳ Ｐゴシック"/>
      <family val="3"/>
    </font>
    <font>
      <sz val="11"/>
      <name val="Arial Narrow"/>
      <family val="2"/>
    </font>
    <font>
      <b/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2" borderId="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178" fontId="10" fillId="3" borderId="12" xfId="0" applyNumberFormat="1" applyFont="1" applyFill="1" applyBorder="1" applyAlignment="1" applyProtection="1">
      <alignment horizontal="center" vertical="center"/>
      <protection locked="0"/>
    </xf>
    <xf numFmtId="178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4" borderId="0" xfId="0" applyFont="1" applyFill="1" applyAlignment="1" applyProtection="1">
      <alignment horizontal="center"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3" borderId="45" xfId="0" applyFont="1" applyFill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8" fillId="0" borderId="48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3" borderId="50" xfId="0" applyFont="1" applyFill="1" applyBorder="1" applyAlignment="1" applyProtection="1">
      <alignment horizontal="center" vertical="center"/>
      <protection locked="0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8" fillId="0" borderId="53" xfId="0" applyNumberFormat="1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1" fillId="3" borderId="55" xfId="0" applyFont="1" applyFill="1" applyBorder="1" applyAlignment="1" applyProtection="1">
      <alignment horizontal="center" vertical="center"/>
      <protection locked="0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3" borderId="58" xfId="0" applyFont="1" applyFill="1" applyBorder="1" applyAlignment="1" applyProtection="1">
      <alignment horizontal="center" vertical="center"/>
      <protection locked="0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3" borderId="61" xfId="0" applyFont="1" applyFill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3" borderId="64" xfId="0" applyFont="1" applyFill="1" applyBorder="1" applyAlignment="1" applyProtection="1">
      <alignment horizontal="center" vertical="center"/>
      <protection locked="0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69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1" fillId="3" borderId="70" xfId="16" applyFont="1" applyFill="1" applyBorder="1" applyAlignment="1">
      <alignment vertical="center"/>
    </xf>
    <xf numFmtId="0" fontId="20" fillId="3" borderId="71" xfId="0" applyFont="1" applyFill="1" applyBorder="1" applyAlignment="1">
      <alignment horizontal="right" vertical="center"/>
    </xf>
    <xf numFmtId="0" fontId="20" fillId="3" borderId="72" xfId="0" applyFont="1" applyFill="1" applyBorder="1" applyAlignment="1">
      <alignment horizontal="right" vertical="center"/>
    </xf>
    <xf numFmtId="0" fontId="20" fillId="3" borderId="73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184" fontId="9" fillId="0" borderId="45" xfId="0" applyNumberFormat="1" applyFont="1" applyBorder="1" applyAlignment="1">
      <alignment horizontal="center" vertical="center"/>
    </xf>
    <xf numFmtId="184" fontId="11" fillId="0" borderId="45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84" fontId="5" fillId="0" borderId="58" xfId="0" applyNumberFormat="1" applyFont="1" applyBorder="1" applyAlignment="1">
      <alignment horizontal="center" vertical="center"/>
    </xf>
    <xf numFmtId="184" fontId="11" fillId="0" borderId="58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9" fillId="5" borderId="0" xfId="0" applyFont="1" applyFill="1" applyAlignment="1">
      <alignment vertical="center" shrinkToFi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9" fillId="0" borderId="74" xfId="0" applyFont="1" applyBorder="1" applyAlignment="1">
      <alignment horizontal="right" vertical="center"/>
    </xf>
    <xf numFmtId="0" fontId="9" fillId="0" borderId="75" xfId="0" applyFont="1" applyBorder="1" applyAlignment="1">
      <alignment horizontal="center" vertical="center"/>
    </xf>
    <xf numFmtId="0" fontId="9" fillId="0" borderId="74" xfId="0" applyFont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0" fontId="26" fillId="5" borderId="0" xfId="0" applyFont="1" applyFill="1" applyAlignment="1">
      <alignment horizontal="left" vertical="center"/>
    </xf>
    <xf numFmtId="181" fontId="9" fillId="5" borderId="0" xfId="0" applyNumberFormat="1" applyFont="1" applyFill="1" applyAlignment="1">
      <alignment horizontal="center" vertical="center"/>
    </xf>
    <xf numFmtId="181" fontId="9" fillId="3" borderId="0" xfId="0" applyNumberFormat="1" applyFont="1" applyFill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184" fontId="9" fillId="0" borderId="74" xfId="0" applyNumberFormat="1" applyFont="1" applyBorder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27" fillId="0" borderId="77" xfId="0" applyFont="1" applyBorder="1" applyAlignment="1">
      <alignment horizontal="center" vertical="center"/>
    </xf>
    <xf numFmtId="0" fontId="11" fillId="3" borderId="45" xfId="0" applyNumberFormat="1" applyFont="1" applyFill="1" applyBorder="1" applyAlignment="1">
      <alignment horizontal="center" vertical="center"/>
    </xf>
    <xf numFmtId="0" fontId="11" fillId="3" borderId="58" xfId="0" applyNumberFormat="1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4" xfId="0" applyFont="1" applyBorder="1" applyAlignment="1">
      <alignment vertical="center" shrinkToFit="1"/>
    </xf>
    <xf numFmtId="22" fontId="10" fillId="0" borderId="74" xfId="0" applyNumberFormat="1" applyFont="1" applyBorder="1" applyAlignment="1">
      <alignment vertical="center" shrinkToFit="1"/>
    </xf>
    <xf numFmtId="0" fontId="10" fillId="0" borderId="74" xfId="0" applyFont="1" applyBorder="1" applyAlignment="1">
      <alignment vertical="center"/>
    </xf>
    <xf numFmtId="0" fontId="15" fillId="0" borderId="73" xfId="0" applyFont="1" applyFill="1" applyBorder="1" applyAlignment="1">
      <alignment horizontal="center" vertical="center"/>
    </xf>
    <xf numFmtId="184" fontId="5" fillId="0" borderId="78" xfId="0" applyNumberFormat="1" applyFont="1" applyBorder="1" applyAlignment="1" quotePrefix="1">
      <alignment horizontal="right" vertical="center"/>
    </xf>
    <xf numFmtId="184" fontId="28" fillId="0" borderId="79" xfId="0" applyNumberFormat="1" applyFont="1" applyBorder="1" applyAlignment="1">
      <alignment horizontal="center" vertical="center"/>
    </xf>
    <xf numFmtId="56" fontId="29" fillId="0" borderId="80" xfId="0" applyNumberFormat="1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20" fontId="5" fillId="0" borderId="81" xfId="0" applyNumberFormat="1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>
      <alignment vertical="center"/>
    </xf>
    <xf numFmtId="20" fontId="11" fillId="0" borderId="0" xfId="0" applyNumberFormat="1" applyFont="1" applyBorder="1" applyAlignment="1" quotePrefix="1">
      <alignment horizontal="right" vertical="center"/>
    </xf>
    <xf numFmtId="20" fontId="27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right" vertical="center"/>
    </xf>
    <xf numFmtId="20" fontId="11" fillId="0" borderId="3" xfId="0" applyNumberFormat="1" applyFont="1" applyBorder="1" applyAlignment="1">
      <alignment horizontal="right" vertical="center" wrapText="1"/>
    </xf>
    <xf numFmtId="0" fontId="30" fillId="0" borderId="69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11" fillId="0" borderId="80" xfId="0" applyFont="1" applyFill="1" applyBorder="1" applyAlignment="1">
      <alignment vertical="center"/>
    </xf>
    <xf numFmtId="0" fontId="11" fillId="0" borderId="82" xfId="0" applyFont="1" applyFill="1" applyBorder="1" applyAlignment="1">
      <alignment vertical="center"/>
    </xf>
    <xf numFmtId="0" fontId="11" fillId="0" borderId="7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73" xfId="0" applyFont="1" applyFill="1" applyBorder="1" applyAlignment="1">
      <alignment vertical="center"/>
    </xf>
    <xf numFmtId="0" fontId="11" fillId="0" borderId="81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81" xfId="0" applyFont="1" applyFill="1" applyBorder="1" applyAlignment="1">
      <alignment horizontal="right" vertical="center"/>
    </xf>
    <xf numFmtId="0" fontId="11" fillId="0" borderId="83" xfId="0" applyFont="1" applyFill="1" applyBorder="1" applyAlignment="1">
      <alignment vertical="center"/>
    </xf>
    <xf numFmtId="49" fontId="11" fillId="0" borderId="0" xfId="0" applyNumberFormat="1" applyFont="1" applyAlignment="1" quotePrefix="1">
      <alignment horizontal="center" vertical="center"/>
    </xf>
    <xf numFmtId="0" fontId="11" fillId="0" borderId="0" xfId="0" applyNumberFormat="1" applyFont="1" applyAlignment="1">
      <alignment vertical="center"/>
    </xf>
    <xf numFmtId="184" fontId="11" fillId="0" borderId="0" xfId="0" applyNumberFormat="1" applyFont="1" applyBorder="1" applyAlignment="1">
      <alignment horizontal="center" vertical="center"/>
    </xf>
    <xf numFmtId="55" fontId="11" fillId="0" borderId="0" xfId="0" applyNumberFormat="1" applyFont="1" applyAlignment="1">
      <alignment vertical="center"/>
    </xf>
    <xf numFmtId="0" fontId="31" fillId="0" borderId="0" xfId="16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74" xfId="0" applyFont="1" applyBorder="1" applyAlignment="1">
      <alignment horizontal="center" vertical="center"/>
    </xf>
    <xf numFmtId="0" fontId="10" fillId="6" borderId="74" xfId="0" applyFont="1" applyFill="1" applyBorder="1" applyAlignment="1">
      <alignment vertical="center"/>
    </xf>
    <xf numFmtId="0" fontId="10" fillId="6" borderId="74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21" fillId="3" borderId="82" xfId="16" applyFont="1" applyFill="1" applyBorder="1" applyAlignment="1">
      <alignment vertical="center"/>
    </xf>
    <xf numFmtId="0" fontId="21" fillId="3" borderId="83" xfId="16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6" borderId="74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0" fontId="11" fillId="0" borderId="3" xfId="0" applyNumberFormat="1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39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30" xfId="0" applyFont="1" applyBorder="1" applyAlignment="1">
      <alignment vertical="center" shrinkToFit="1"/>
    </xf>
    <xf numFmtId="56" fontId="38" fillId="0" borderId="18" xfId="0" applyNumberFormat="1" applyFont="1" applyBorder="1" applyAlignment="1">
      <alignment horizontal="center" vertical="center" wrapText="1"/>
    </xf>
    <xf numFmtId="56" fontId="38" fillId="0" borderId="1" xfId="0" applyNumberFormat="1" applyFont="1" applyBorder="1" applyAlignment="1">
      <alignment horizontal="center" vertical="center" wrapText="1"/>
    </xf>
    <xf numFmtId="56" fontId="38" fillId="0" borderId="54" xfId="0" applyNumberFormat="1" applyFont="1" applyBorder="1" applyAlignment="1">
      <alignment horizontal="center" vertical="center" wrapText="1"/>
    </xf>
    <xf numFmtId="56" fontId="38" fillId="0" borderId="3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20" fontId="30" fillId="0" borderId="3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56" fontId="6" fillId="4" borderId="0" xfId="0" applyNumberFormat="1" applyFont="1" applyFill="1" applyBorder="1" applyAlignment="1">
      <alignment horizontal="center" vertical="center" wrapText="1"/>
    </xf>
    <xf numFmtId="56" fontId="41" fillId="4" borderId="4" xfId="0" applyNumberFormat="1" applyFont="1" applyFill="1" applyBorder="1" applyAlignment="1">
      <alignment horizontal="center" vertical="center"/>
    </xf>
    <xf numFmtId="186" fontId="6" fillId="4" borderId="4" xfId="0" applyNumberFormat="1" applyFont="1" applyFill="1" applyBorder="1" applyAlignment="1">
      <alignment horizontal="center" vertical="center"/>
    </xf>
    <xf numFmtId="185" fontId="5" fillId="4" borderId="0" xfId="0" applyNumberFormat="1" applyFont="1" applyFill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5" fontId="11" fillId="0" borderId="48" xfId="0" applyNumberFormat="1" applyFont="1" applyBorder="1" applyAlignment="1">
      <alignment horizontal="center" vertical="center"/>
    </xf>
    <xf numFmtId="185" fontId="11" fillId="0" borderId="53" xfId="0" applyNumberFormat="1" applyFont="1" applyBorder="1" applyAlignment="1">
      <alignment horizontal="center" vertical="center"/>
    </xf>
    <xf numFmtId="185" fontId="11" fillId="0" borderId="69" xfId="0" applyNumberFormat="1" applyFont="1" applyBorder="1" applyAlignment="1">
      <alignment horizontal="center" vertical="center"/>
    </xf>
    <xf numFmtId="31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1" fontId="5" fillId="0" borderId="81" xfId="0" applyNumberFormat="1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left" vertical="center"/>
    </xf>
    <xf numFmtId="184" fontId="11" fillId="0" borderId="16" xfId="0" applyNumberFormat="1" applyFont="1" applyBorder="1" applyAlignment="1">
      <alignment horizontal="center" vertical="center"/>
    </xf>
    <xf numFmtId="184" fontId="11" fillId="0" borderId="17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177" fontId="10" fillId="0" borderId="71" xfId="0" applyNumberFormat="1" applyFont="1" applyBorder="1" applyAlignment="1">
      <alignment horizontal="right" vertical="center"/>
    </xf>
    <xf numFmtId="0" fontId="10" fillId="0" borderId="73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0" fillId="0" borderId="86" xfId="0" applyFont="1" applyBorder="1" applyAlignment="1">
      <alignment vertical="center"/>
    </xf>
    <xf numFmtId="0" fontId="10" fillId="0" borderId="87" xfId="0" applyFont="1" applyBorder="1" applyAlignment="1">
      <alignment vertical="center"/>
    </xf>
    <xf numFmtId="177" fontId="10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428625</xdr:colOff>
      <xdr:row>1</xdr:row>
      <xdr:rowOff>304800</xdr:rowOff>
    </xdr:from>
    <xdr:to>
      <xdr:col>17</xdr:col>
      <xdr:colOff>114300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9530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22</xdr:row>
      <xdr:rowOff>180975</xdr:rowOff>
    </xdr:from>
    <xdr:to>
      <xdr:col>17</xdr:col>
      <xdr:colOff>180975</xdr:colOff>
      <xdr:row>29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4486275"/>
          <a:ext cx="242887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fifa.com/worldcup/index.html" TargetMode="External" /><Relationship Id="rId2" Type="http://schemas.openxmlformats.org/officeDocument/2006/relationships/hyperlink" Target="http://samuraiblue.jp/" TargetMode="Externa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GridLines="0" workbookViewId="0" topLeftCell="A1">
      <selection activeCell="C5" sqref="C5"/>
    </sheetView>
  </sheetViews>
  <sheetFormatPr defaultColWidth="8.796875" defaultRowHeight="15" customHeight="1"/>
  <cols>
    <col min="1" max="1" width="2.59765625" style="39" customWidth="1"/>
    <col min="2" max="2" width="3.5" style="39" customWidth="1"/>
    <col min="3" max="16384" width="4.59765625" style="39" customWidth="1"/>
  </cols>
  <sheetData>
    <row r="1" spans="1:18" ht="15" customHeigh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</row>
    <row r="2" spans="1:18" ht="24">
      <c r="A2" s="178"/>
      <c r="B2" s="193" t="s">
        <v>215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80"/>
    </row>
    <row r="3" spans="1:18" ht="15" customHeight="1">
      <c r="A3" s="178"/>
      <c r="B3" s="181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15" customHeigh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81"/>
      <c r="L4" s="181"/>
      <c r="M4" s="195" t="s">
        <v>94</v>
      </c>
      <c r="N4" s="173" t="s">
        <v>23</v>
      </c>
      <c r="O4" s="174"/>
      <c r="P4" s="174"/>
      <c r="Q4" s="181"/>
      <c r="R4" s="180"/>
    </row>
    <row r="5" spans="1:18" ht="1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81"/>
      <c r="L5" s="181"/>
      <c r="M5" s="182"/>
      <c r="N5" s="181"/>
      <c r="O5" s="181"/>
      <c r="P5" s="181"/>
      <c r="Q5" s="181"/>
      <c r="R5" s="180"/>
    </row>
    <row r="6" spans="1:18" ht="1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81"/>
      <c r="L6" s="181"/>
      <c r="M6" s="194" t="s">
        <v>216</v>
      </c>
      <c r="N6" s="233">
        <v>41803</v>
      </c>
      <c r="O6" s="233"/>
      <c r="P6" s="233"/>
      <c r="Q6" s="234"/>
      <c r="R6" s="180"/>
    </row>
    <row r="7" spans="1:18" ht="15" customHeight="1" thickBot="1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5"/>
      <c r="L7" s="185"/>
      <c r="M7" s="186"/>
      <c r="N7" s="235"/>
      <c r="O7" s="235"/>
      <c r="P7" s="235"/>
      <c r="Q7" s="236"/>
      <c r="R7" s="187"/>
    </row>
    <row r="8" spans="2:11" ht="15" customHeight="1">
      <c r="B8" s="16"/>
      <c r="J8" s="16"/>
      <c r="K8" s="16"/>
    </row>
    <row r="9" ht="15" customHeight="1">
      <c r="B9" s="39" t="s">
        <v>95</v>
      </c>
    </row>
    <row r="10" ht="15" customHeight="1">
      <c r="B10" s="39" t="s">
        <v>195</v>
      </c>
    </row>
    <row r="11" ht="15" customHeight="1">
      <c r="B11" s="39" t="s">
        <v>196</v>
      </c>
    </row>
    <row r="12" ht="15" customHeight="1">
      <c r="B12" s="39" t="s">
        <v>96</v>
      </c>
    </row>
    <row r="14" ht="15" customHeight="1">
      <c r="B14" s="39" t="s">
        <v>97</v>
      </c>
    </row>
    <row r="15" ht="15" customHeight="1">
      <c r="B15" s="39" t="s">
        <v>98</v>
      </c>
    </row>
    <row r="16" ht="15" customHeight="1">
      <c r="B16" s="39" t="s">
        <v>99</v>
      </c>
    </row>
    <row r="18" ht="15" customHeight="1">
      <c r="B18" s="39" t="s">
        <v>201</v>
      </c>
    </row>
    <row r="19" spans="2:3" ht="15" customHeight="1">
      <c r="B19" s="188" t="s">
        <v>100</v>
      </c>
      <c r="C19" s="39" t="s">
        <v>101</v>
      </c>
    </row>
    <row r="20" ht="15" customHeight="1">
      <c r="B20" s="188"/>
    </row>
    <row r="21" spans="2:3" ht="15" customHeight="1">
      <c r="B21" s="188" t="s">
        <v>102</v>
      </c>
      <c r="C21" s="39" t="s">
        <v>103</v>
      </c>
    </row>
    <row r="22" ht="15" customHeight="1">
      <c r="D22" s="39" t="s">
        <v>104</v>
      </c>
    </row>
    <row r="23" ht="15" customHeight="1">
      <c r="C23" s="39" t="s">
        <v>105</v>
      </c>
    </row>
    <row r="24" ht="15" customHeight="1">
      <c r="C24" s="39" t="s">
        <v>106</v>
      </c>
    </row>
    <row r="25" ht="15" customHeight="1">
      <c r="C25" s="39" t="s">
        <v>198</v>
      </c>
    </row>
    <row r="26" ht="15" customHeight="1">
      <c r="C26" s="39" t="s">
        <v>206</v>
      </c>
    </row>
    <row r="27" ht="15" customHeight="1">
      <c r="C27" s="39" t="s">
        <v>199</v>
      </c>
    </row>
    <row r="28" ht="15" customHeight="1">
      <c r="C28" s="39" t="s">
        <v>207</v>
      </c>
    </row>
    <row r="29" ht="15" customHeight="1">
      <c r="C29" s="39" t="s">
        <v>200</v>
      </c>
    </row>
    <row r="30" spans="3:13" ht="15" customHeight="1">
      <c r="C30" s="39" t="s">
        <v>208</v>
      </c>
      <c r="M30" s="74" t="s">
        <v>209</v>
      </c>
    </row>
    <row r="32" spans="2:3" ht="15" customHeight="1">
      <c r="B32" s="188" t="s">
        <v>210</v>
      </c>
      <c r="C32" s="39" t="s">
        <v>202</v>
      </c>
    </row>
    <row r="33" ht="15" customHeight="1">
      <c r="C33" s="39" t="s">
        <v>203</v>
      </c>
    </row>
    <row r="35" spans="2:3" ht="15" customHeight="1">
      <c r="B35" s="188" t="s">
        <v>211</v>
      </c>
      <c r="C35" s="39" t="s">
        <v>194</v>
      </c>
    </row>
    <row r="36" spans="3:13" ht="15" customHeight="1">
      <c r="C36" s="146"/>
      <c r="D36" s="237">
        <v>40340.85486111111</v>
      </c>
      <c r="E36" s="238"/>
      <c r="F36" s="239"/>
      <c r="G36" s="39" t="s">
        <v>197</v>
      </c>
      <c r="M36" s="189"/>
    </row>
    <row r="37" spans="3:13" ht="15" customHeight="1">
      <c r="C37" s="39" t="s">
        <v>204</v>
      </c>
      <c r="D37" s="190"/>
      <c r="E37" s="190"/>
      <c r="F37" s="190"/>
      <c r="M37" s="189"/>
    </row>
    <row r="38" ht="15" customHeight="1">
      <c r="C38" s="39" t="s">
        <v>205</v>
      </c>
    </row>
    <row r="40" spans="2:3" ht="15" customHeight="1">
      <c r="B40" s="188" t="s">
        <v>213</v>
      </c>
      <c r="C40" s="39" t="s">
        <v>214</v>
      </c>
    </row>
    <row r="42" spans="2:4" ht="15" customHeight="1">
      <c r="B42" s="39" t="s">
        <v>193</v>
      </c>
      <c r="D42" s="146"/>
    </row>
    <row r="43" spans="4:14" ht="15" customHeight="1">
      <c r="D43" s="146"/>
      <c r="E43" s="190"/>
      <c r="F43" s="190"/>
      <c r="G43" s="190"/>
      <c r="N43" s="189"/>
    </row>
    <row r="44" spans="2:15" ht="15" customHeight="1">
      <c r="B44" s="39" t="s">
        <v>187</v>
      </c>
      <c r="O44" s="189"/>
    </row>
    <row r="45" spans="3:6" ht="15" customHeight="1">
      <c r="C45" s="191" t="s">
        <v>190</v>
      </c>
      <c r="F45" s="39" t="s">
        <v>188</v>
      </c>
    </row>
    <row r="46" spans="3:6" ht="15" customHeight="1">
      <c r="C46" s="39" t="s">
        <v>191</v>
      </c>
      <c r="F46" s="39" t="s">
        <v>189</v>
      </c>
    </row>
    <row r="47" spans="2:6" ht="15" customHeight="1">
      <c r="B47" s="192"/>
      <c r="C47" s="39" t="s">
        <v>430</v>
      </c>
      <c r="F47" s="39" t="s">
        <v>431</v>
      </c>
    </row>
    <row r="49" ht="15" customHeight="1">
      <c r="B49" s="39" t="s">
        <v>19</v>
      </c>
    </row>
    <row r="50" ht="15" customHeight="1">
      <c r="B50" s="39" t="s">
        <v>212</v>
      </c>
    </row>
    <row r="51" ht="15" customHeight="1">
      <c r="B51" s="39" t="s">
        <v>107</v>
      </c>
    </row>
    <row r="52" ht="15" customHeight="1">
      <c r="B52" s="39" t="s">
        <v>108</v>
      </c>
    </row>
  </sheetData>
  <mergeCells count="3">
    <mergeCell ref="N6:Q6"/>
    <mergeCell ref="N7:Q7"/>
    <mergeCell ref="D36:F36"/>
  </mergeCells>
  <printOptions/>
  <pageMargins left="0.7874015748031497" right="0.7874015748031497" top="0.7874015748031497" bottom="0.5905511811023623" header="0.5118110236220472" footer="0.5118110236220472"/>
  <pageSetup orientation="portrait" paperSize="9" r:id="rId2"/>
  <ignoredErrors>
    <ignoredError sqref="B21 B19 B32 B35 B40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E11" sqref="E11"/>
    </sheetView>
  </sheetViews>
  <sheetFormatPr defaultColWidth="8.796875" defaultRowHeight="18" customHeight="1"/>
  <cols>
    <col min="1" max="1" width="3.59765625" style="39" customWidth="1"/>
    <col min="2" max="2" width="3.09765625" style="39" customWidth="1"/>
    <col min="3" max="3" width="13.09765625" style="39" customWidth="1"/>
    <col min="4" max="4" width="5.59765625" style="42" customWidth="1"/>
    <col min="5" max="6" width="7.09765625" style="42" customWidth="1"/>
    <col min="7" max="8" width="7.09765625" style="42" bestFit="1" customWidth="1"/>
    <col min="9" max="9" width="2.3984375" style="39" customWidth="1"/>
    <col min="10" max="12" width="3.59765625" style="39" customWidth="1"/>
    <col min="13" max="13" width="2.3984375" style="39" customWidth="1"/>
    <col min="14" max="14" width="5.09765625" style="39" customWidth="1"/>
    <col min="15" max="15" width="5.09765625" style="39" bestFit="1" customWidth="1"/>
    <col min="16" max="16" width="1.59765625" style="39" customWidth="1"/>
    <col min="17" max="16384" width="9" style="39" customWidth="1"/>
  </cols>
  <sheetData>
    <row r="1" spans="2:9" ht="18" customHeight="1">
      <c r="B1" s="23" t="s">
        <v>402</v>
      </c>
      <c r="C1" s="23"/>
      <c r="D1" s="40"/>
      <c r="E1" s="40"/>
      <c r="F1" s="40"/>
      <c r="G1" s="41"/>
      <c r="H1" s="12"/>
      <c r="I1" s="12"/>
    </row>
    <row r="2" spans="2:3" ht="18" customHeight="1">
      <c r="B2" s="40" t="s">
        <v>50</v>
      </c>
      <c r="C2" s="23" t="s">
        <v>0</v>
      </c>
    </row>
    <row r="3" spans="1:15" ht="18" customHeight="1" thickBot="1">
      <c r="A3" s="43" t="s">
        <v>28</v>
      </c>
      <c r="C3" s="39" t="s">
        <v>1</v>
      </c>
      <c r="D3" s="9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/>
      <c r="J3" s="42" t="s">
        <v>7</v>
      </c>
      <c r="K3" s="42" t="s">
        <v>8</v>
      </c>
      <c r="L3" s="42" t="s">
        <v>9</v>
      </c>
      <c r="N3" s="42"/>
      <c r="O3" s="42" t="s">
        <v>10</v>
      </c>
    </row>
    <row r="4" spans="1:15" ht="18" customHeight="1">
      <c r="A4" s="44" t="str">
        <f>$B$2&amp;O4</f>
        <v>H1</v>
      </c>
      <c r="B4" s="45"/>
      <c r="C4" s="46" t="s">
        <v>398</v>
      </c>
      <c r="D4" s="47" t="s">
        <v>285</v>
      </c>
      <c r="E4" s="48">
        <f aca="true" t="shared" si="0" ref="E4:G7">SUMIF($D$11:$D$22,$D4,E$11:E$22)</f>
        <v>0</v>
      </c>
      <c r="F4" s="48">
        <f t="shared" si="0"/>
        <v>0</v>
      </c>
      <c r="G4" s="48">
        <f t="shared" si="0"/>
        <v>0</v>
      </c>
      <c r="H4" s="49">
        <f>E4-F4</f>
        <v>0</v>
      </c>
      <c r="I4" s="50"/>
      <c r="J4" s="51">
        <f aca="true" t="shared" si="1" ref="J4:L7">COUNTIF(J$11:J$22,$D4)</f>
        <v>0</v>
      </c>
      <c r="K4" s="52">
        <f t="shared" si="1"/>
        <v>0</v>
      </c>
      <c r="L4" s="53">
        <f t="shared" si="1"/>
        <v>0</v>
      </c>
      <c r="M4" s="12"/>
      <c r="N4" s="54">
        <f>G4*10000+(H4+50)*100+E4</f>
        <v>5000</v>
      </c>
      <c r="O4" s="49">
        <f>RANK(N4,$N$4:$N$7)</f>
        <v>1</v>
      </c>
    </row>
    <row r="5" spans="1:15" ht="18" customHeight="1">
      <c r="A5" s="44" t="str">
        <f>$B$2&amp;O5</f>
        <v>H1</v>
      </c>
      <c r="B5" s="55"/>
      <c r="C5" s="56" t="s">
        <v>399</v>
      </c>
      <c r="D5" s="57" t="s">
        <v>246</v>
      </c>
      <c r="E5" s="58">
        <f t="shared" si="0"/>
        <v>0</v>
      </c>
      <c r="F5" s="58">
        <f t="shared" si="0"/>
        <v>0</v>
      </c>
      <c r="G5" s="58">
        <f t="shared" si="0"/>
        <v>0</v>
      </c>
      <c r="H5" s="59">
        <f>E5-F5</f>
        <v>0</v>
      </c>
      <c r="I5" s="50"/>
      <c r="J5" s="60">
        <f t="shared" si="1"/>
        <v>0</v>
      </c>
      <c r="K5" s="61">
        <f t="shared" si="1"/>
        <v>0</v>
      </c>
      <c r="L5" s="62">
        <f t="shared" si="1"/>
        <v>0</v>
      </c>
      <c r="M5" s="12"/>
      <c r="N5" s="63">
        <f>G5*10000+(H5+50)*100+E5</f>
        <v>5000</v>
      </c>
      <c r="O5" s="59">
        <f>RANK(N5,$N$4:$N$7)</f>
        <v>1</v>
      </c>
    </row>
    <row r="6" spans="1:15" ht="18" customHeight="1">
      <c r="A6" s="44" t="str">
        <f>$B$2&amp;O6</f>
        <v>H1</v>
      </c>
      <c r="B6" s="55"/>
      <c r="C6" s="56" t="s">
        <v>400</v>
      </c>
      <c r="D6" s="57" t="s">
        <v>324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9">
        <f>E6-F6</f>
        <v>0</v>
      </c>
      <c r="I6" s="50"/>
      <c r="J6" s="60">
        <f t="shared" si="1"/>
        <v>0</v>
      </c>
      <c r="K6" s="61">
        <f t="shared" si="1"/>
        <v>0</v>
      </c>
      <c r="L6" s="62">
        <f t="shared" si="1"/>
        <v>0</v>
      </c>
      <c r="M6" s="12"/>
      <c r="N6" s="63">
        <f>G6*10000+(H6+50)*100+E6</f>
        <v>5000</v>
      </c>
      <c r="O6" s="59">
        <f>RANK(N6,$N$4:$N$7)</f>
        <v>1</v>
      </c>
    </row>
    <row r="7" spans="1:15" ht="18" customHeight="1" thickBot="1">
      <c r="A7" s="44" t="str">
        <f>$B$2&amp;O7</f>
        <v>H1</v>
      </c>
      <c r="B7" s="64"/>
      <c r="C7" s="65" t="s">
        <v>401</v>
      </c>
      <c r="D7" s="66" t="s">
        <v>279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8">
        <f>E7-F7</f>
        <v>0</v>
      </c>
      <c r="I7" s="50"/>
      <c r="J7" s="69">
        <f t="shared" si="1"/>
        <v>0</v>
      </c>
      <c r="K7" s="70">
        <f t="shared" si="1"/>
        <v>0</v>
      </c>
      <c r="L7" s="71">
        <f t="shared" si="1"/>
        <v>0</v>
      </c>
      <c r="M7" s="12"/>
      <c r="N7" s="72">
        <f>G7*10000+(H7+50)*100+E7</f>
        <v>5000</v>
      </c>
      <c r="O7" s="68">
        <f>RANK(N7,$N$4:$N$7)</f>
        <v>1</v>
      </c>
    </row>
    <row r="8" spans="4:8" ht="18" customHeight="1">
      <c r="D8" s="39"/>
      <c r="E8" s="73">
        <f>SUM(E4:E7)</f>
        <v>0</v>
      </c>
      <c r="F8" s="73">
        <f>SUM(F4:F7)</f>
        <v>0</v>
      </c>
      <c r="G8" s="73">
        <f>SUM(G4:G7)</f>
        <v>0</v>
      </c>
      <c r="H8" s="73">
        <f>SUM(H4:H7)</f>
        <v>0</v>
      </c>
    </row>
    <row r="9" spans="3:7" ht="18" customHeight="1">
      <c r="C9" s="42" t="s">
        <v>116</v>
      </c>
      <c r="D9" s="39"/>
      <c r="E9" s="74" t="s">
        <v>11</v>
      </c>
      <c r="F9" s="74"/>
      <c r="G9" s="75"/>
    </row>
    <row r="10" spans="2:12" ht="18" customHeight="1" thickBot="1">
      <c r="B10" s="111" t="s">
        <v>115</v>
      </c>
      <c r="C10" s="9" t="s">
        <v>117</v>
      </c>
      <c r="D10" s="42" t="s">
        <v>12</v>
      </c>
      <c r="E10" s="42" t="s">
        <v>13</v>
      </c>
      <c r="F10" s="42" t="s">
        <v>14</v>
      </c>
      <c r="G10" s="42" t="s">
        <v>15</v>
      </c>
      <c r="J10" s="42" t="s">
        <v>7</v>
      </c>
      <c r="K10" s="42" t="s">
        <v>8</v>
      </c>
      <c r="L10" s="42" t="s">
        <v>9</v>
      </c>
    </row>
    <row r="11" spans="2:12" ht="18" customHeight="1">
      <c r="B11" s="82">
        <v>15</v>
      </c>
      <c r="C11" s="121">
        <f>VLOOKUP($B11,MatchTable!$A$3:$G$50,3)</f>
        <v>41807.541666666664</v>
      </c>
      <c r="D11" s="122" t="str">
        <f>VLOOKUP($B11,MatchTable!$A$3:$H$50,6)</f>
        <v>BEL</v>
      </c>
      <c r="E11" s="76"/>
      <c r="F11" s="77">
        <f>IF(E12="","",E12)</f>
      </c>
      <c r="G11" s="78">
        <f>IF(E11="","",IF(E11&gt;E12,3,IF(E11=E12,1,0)))</f>
      </c>
      <c r="J11" s="79">
        <f aca="true" t="shared" si="2" ref="J11:J22">IF($E11="","",IF($G11=3,$D11,""))</f>
      </c>
      <c r="K11" s="80">
        <f aca="true" t="shared" si="3" ref="K11:K22">IF($E11="","",IF($G11=1,$D11,""))</f>
      </c>
      <c r="L11" s="81">
        <f aca="true" t="shared" si="4" ref="L11:L22">IF($E11="","",IF($G11=0,$D11,""))</f>
      </c>
    </row>
    <row r="12" spans="2:12" ht="18" customHeight="1" thickBot="1">
      <c r="B12" s="151">
        <f>B11</f>
        <v>15</v>
      </c>
      <c r="C12" s="124">
        <f>VLOOKUP($B12,MatchTable!$A$3:$G$50,4)</f>
        <v>41808.041666666664</v>
      </c>
      <c r="D12" s="125" t="str">
        <f>VLOOKUP($B12,MatchTable!$A$3:$H$50,8)</f>
        <v>ALG</v>
      </c>
      <c r="E12" s="83"/>
      <c r="F12" s="84">
        <f>IF(E11="","",E11)</f>
      </c>
      <c r="G12" s="85">
        <f>IF(E12="","",IF(E11&lt;E12,3,IF(E11=E12,1,0)))</f>
      </c>
      <c r="J12" s="86">
        <f t="shared" si="2"/>
      </c>
      <c r="K12" s="73">
        <f t="shared" si="3"/>
      </c>
      <c r="L12" s="87">
        <f t="shared" si="4"/>
      </c>
    </row>
    <row r="13" spans="2:12" ht="18" customHeight="1">
      <c r="B13" s="82">
        <v>16</v>
      </c>
      <c r="C13" s="121">
        <f>VLOOKUP($B13,MatchTable!$A$3:$G$50,3)</f>
        <v>41807.75</v>
      </c>
      <c r="D13" s="122" t="str">
        <f>VLOOKUP($B13,MatchTable!$A$3:$H$50,6)</f>
        <v>RUS</v>
      </c>
      <c r="E13" s="88"/>
      <c r="F13" s="89">
        <f>IF(E14="","",E14)</f>
      </c>
      <c r="G13" s="90">
        <f>IF(E13="","",IF(E13&gt;E14,3,IF(E13=E14,1,0)))</f>
      </c>
      <c r="J13" s="86">
        <f t="shared" si="2"/>
      </c>
      <c r="K13" s="73">
        <f t="shared" si="3"/>
      </c>
      <c r="L13" s="87">
        <f t="shared" si="4"/>
      </c>
    </row>
    <row r="14" spans="2:12" ht="18" customHeight="1" thickBot="1">
      <c r="B14" s="151">
        <f>B13</f>
        <v>16</v>
      </c>
      <c r="C14" s="124">
        <f>VLOOKUP($B14,MatchTable!$A$3:$G$50,4)</f>
        <v>41808.291666666664</v>
      </c>
      <c r="D14" s="125" t="str">
        <f>VLOOKUP($B14,MatchTable!$A$3:$H$50,8)</f>
        <v>KOR</v>
      </c>
      <c r="E14" s="91"/>
      <c r="F14" s="92">
        <f>IF(E13="","",E13)</f>
      </c>
      <c r="G14" s="93">
        <f>IF(E14="","",IF(E13&lt;E14,3,IF(E13=E14,1,0)))</f>
      </c>
      <c r="J14" s="86">
        <f t="shared" si="2"/>
      </c>
      <c r="K14" s="73">
        <f t="shared" si="3"/>
      </c>
      <c r="L14" s="87">
        <f t="shared" si="4"/>
      </c>
    </row>
    <row r="15" spans="2:12" ht="18" customHeight="1">
      <c r="B15" s="82">
        <v>31</v>
      </c>
      <c r="C15" s="121">
        <f>VLOOKUP($B15,MatchTable!$A$3:$G$50,3)</f>
        <v>41812.541666666664</v>
      </c>
      <c r="D15" s="122" t="str">
        <f>VLOOKUP($B15,MatchTable!$A$3:$H$50,6)</f>
        <v>BEL</v>
      </c>
      <c r="E15" s="76"/>
      <c r="F15" s="77">
        <f>IF(E16="","",E16)</f>
      </c>
      <c r="G15" s="78">
        <f>IF(E15="","",IF(E15&gt;E16,3,IF(E15=E16,1,0)))</f>
      </c>
      <c r="J15" s="86">
        <f t="shared" si="2"/>
      </c>
      <c r="K15" s="73">
        <f t="shared" si="3"/>
      </c>
      <c r="L15" s="87">
        <f t="shared" si="4"/>
      </c>
    </row>
    <row r="16" spans="2:12" ht="18" customHeight="1" thickBot="1">
      <c r="B16" s="151">
        <f>B15</f>
        <v>31</v>
      </c>
      <c r="C16" s="124">
        <f>VLOOKUP($B16,MatchTable!$A$3:$G$50,4)</f>
        <v>41813.041666666664</v>
      </c>
      <c r="D16" s="125" t="str">
        <f>VLOOKUP($B16,MatchTable!$A$3:$H$50,8)</f>
        <v>RUS</v>
      </c>
      <c r="E16" s="94"/>
      <c r="F16" s="95">
        <f>IF(E15="","",E15)</f>
      </c>
      <c r="G16" s="96">
        <f>IF(E16="","",IF(E15&lt;E16,3,IF(E15=E16,1,0)))</f>
      </c>
      <c r="J16" s="86">
        <f t="shared" si="2"/>
      </c>
      <c r="K16" s="73">
        <f t="shared" si="3"/>
      </c>
      <c r="L16" s="87">
        <f t="shared" si="4"/>
      </c>
    </row>
    <row r="17" spans="2:12" ht="18" customHeight="1">
      <c r="B17" s="82">
        <v>32</v>
      </c>
      <c r="C17" s="121">
        <f>VLOOKUP($B17,MatchTable!$A$3:$G$50,3)</f>
        <v>41812.666666666664</v>
      </c>
      <c r="D17" s="122" t="str">
        <f>VLOOKUP($B17,MatchTable!$A$3:$H$50,6)</f>
        <v>KOR</v>
      </c>
      <c r="E17" s="97"/>
      <c r="F17" s="98">
        <f>IF(E18="","",E18)</f>
      </c>
      <c r="G17" s="99">
        <f>IF(E17="","",IF(E17&gt;E18,3,IF(E17=E18,1,0)))</f>
      </c>
      <c r="J17" s="86">
        <f t="shared" si="2"/>
      </c>
      <c r="K17" s="73">
        <f t="shared" si="3"/>
      </c>
      <c r="L17" s="87">
        <f t="shared" si="4"/>
      </c>
    </row>
    <row r="18" spans="2:12" ht="18" customHeight="1" thickBot="1">
      <c r="B18" s="151">
        <f>B17</f>
        <v>32</v>
      </c>
      <c r="C18" s="124">
        <f>VLOOKUP($B18,MatchTable!$A$3:$G$50,4)</f>
        <v>41813.166666666664</v>
      </c>
      <c r="D18" s="125" t="str">
        <f>VLOOKUP($B18,MatchTable!$A$3:$H$50,8)</f>
        <v>ALG</v>
      </c>
      <c r="E18" s="91"/>
      <c r="F18" s="92">
        <f>IF(E17="","",E17)</f>
      </c>
      <c r="G18" s="93">
        <f>IF(E18="","",IF(E17&lt;E18,3,IF(E17=E18,1,0)))</f>
      </c>
      <c r="J18" s="86">
        <f t="shared" si="2"/>
      </c>
      <c r="K18" s="73">
        <f t="shared" si="3"/>
      </c>
      <c r="L18" s="87">
        <f t="shared" si="4"/>
      </c>
    </row>
    <row r="19" spans="2:12" ht="18" customHeight="1">
      <c r="B19" s="82">
        <v>47</v>
      </c>
      <c r="C19" s="121">
        <f>VLOOKUP($B19,MatchTable!$A$3:$G$50,3)</f>
        <v>41816.708333333336</v>
      </c>
      <c r="D19" s="122" t="str">
        <f>VLOOKUP($B19,MatchTable!$A$3:$H$50,6)</f>
        <v>KOR</v>
      </c>
      <c r="E19" s="76"/>
      <c r="F19" s="100">
        <f>IF(E20="","",E20)</f>
      </c>
      <c r="G19" s="78">
        <f>IF(E19="","",IF(E19&gt;E20,3,IF(E19=E20,1,0)))</f>
      </c>
      <c r="J19" s="86">
        <f t="shared" si="2"/>
      </c>
      <c r="K19" s="73">
        <f t="shared" si="3"/>
      </c>
      <c r="L19" s="87">
        <f t="shared" si="4"/>
      </c>
    </row>
    <row r="20" spans="2:12" ht="18" customHeight="1" thickBot="1">
      <c r="B20" s="151">
        <f>B19</f>
        <v>47</v>
      </c>
      <c r="C20" s="124">
        <f>VLOOKUP($B20,MatchTable!$A$3:$G$50,4)</f>
        <v>41817.208333333336</v>
      </c>
      <c r="D20" s="125" t="str">
        <f>VLOOKUP($B20,MatchTable!$A$3:$H$50,8)</f>
        <v>BEL</v>
      </c>
      <c r="E20" s="94"/>
      <c r="F20" s="101">
        <f>IF(E19="","",E19)</f>
      </c>
      <c r="G20" s="96">
        <f>IF(E20="","",IF(E19&lt;E20,3,IF(E19=E20,1,0)))</f>
      </c>
      <c r="J20" s="86">
        <f t="shared" si="2"/>
      </c>
      <c r="K20" s="73">
        <f t="shared" si="3"/>
      </c>
      <c r="L20" s="87">
        <f t="shared" si="4"/>
      </c>
    </row>
    <row r="21" spans="2:12" ht="18" customHeight="1">
      <c r="B21" s="82">
        <v>48</v>
      </c>
      <c r="C21" s="121">
        <f>VLOOKUP($B21,MatchTable!$A$3:$G$50,3)</f>
        <v>41816.708333333336</v>
      </c>
      <c r="D21" s="122" t="str">
        <f>VLOOKUP($B21,MatchTable!$A$3:$H$50,6)</f>
        <v>ALG</v>
      </c>
      <c r="E21" s="97"/>
      <c r="F21" s="102">
        <f>IF(E22="","",E22)</f>
      </c>
      <c r="G21" s="99">
        <f>IF(E21="","",IF(E21&gt;E22,3,IF(E21=E22,1,0)))</f>
      </c>
      <c r="J21" s="86">
        <f t="shared" si="2"/>
      </c>
      <c r="K21" s="73">
        <f t="shared" si="3"/>
      </c>
      <c r="L21" s="87">
        <f t="shared" si="4"/>
      </c>
    </row>
    <row r="22" spans="2:12" ht="18" customHeight="1" thickBot="1">
      <c r="B22" s="151">
        <f>B21</f>
        <v>48</v>
      </c>
      <c r="C22" s="124">
        <f>VLOOKUP($B22,MatchTable!$A$3:$G$50,4)</f>
        <v>41817.208333333336</v>
      </c>
      <c r="D22" s="125" t="str">
        <f>VLOOKUP($B22,MatchTable!$A$3:$H$50,8)</f>
        <v>RUS</v>
      </c>
      <c r="E22" s="91"/>
      <c r="F22" s="103">
        <f>IF(E21="","",E21)</f>
      </c>
      <c r="G22" s="93">
        <f>IF(E22="","",IF(E21&lt;E22,3,IF(E21=E22,1,0)))</f>
      </c>
      <c r="J22" s="104">
        <f t="shared" si="2"/>
      </c>
      <c r="K22" s="105">
        <f t="shared" si="3"/>
      </c>
      <c r="L22" s="106">
        <f t="shared" si="4"/>
      </c>
    </row>
  </sheetData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showGridLines="0" workbookViewId="0" topLeftCell="A1">
      <selection activeCell="H6" sqref="H6"/>
    </sheetView>
  </sheetViews>
  <sheetFormatPr defaultColWidth="8.796875" defaultRowHeight="15.75" customHeight="1"/>
  <cols>
    <col min="1" max="1" width="1.59765625" style="10" customWidth="1"/>
    <col min="2" max="2" width="4.5" style="10" customWidth="1"/>
    <col min="3" max="3" width="12.3984375" style="10" customWidth="1"/>
    <col min="4" max="4" width="4.5" style="10" bestFit="1" customWidth="1"/>
    <col min="5" max="5" width="8.59765625" style="10" bestFit="1" customWidth="1"/>
    <col min="6" max="6" width="14.59765625" style="10" customWidth="1"/>
    <col min="7" max="7" width="6.59765625" style="10" customWidth="1"/>
    <col min="8" max="8" width="4.59765625" style="10" customWidth="1"/>
    <col min="9" max="9" width="3.09765625" style="10" customWidth="1"/>
    <col min="10" max="10" width="4.8984375" style="10" bestFit="1" customWidth="1"/>
    <col min="11" max="11" width="5.59765625" style="10" customWidth="1"/>
    <col min="12" max="12" width="1.203125" style="10" customWidth="1"/>
    <col min="13" max="13" width="5.59765625" style="10" customWidth="1"/>
    <col min="14" max="14" width="3.09765625" style="10" customWidth="1"/>
    <col min="15" max="16384" width="9" style="10" customWidth="1"/>
  </cols>
  <sheetData>
    <row r="1" ht="18" customHeight="1">
      <c r="B1" s="23" t="s">
        <v>407</v>
      </c>
    </row>
    <row r="2" ht="6" customHeight="1">
      <c r="B2" s="23"/>
    </row>
    <row r="3" spans="2:13" s="12" customFormat="1" ht="18" customHeight="1">
      <c r="B3" s="23" t="s">
        <v>432</v>
      </c>
      <c r="H3" s="16" t="s">
        <v>44</v>
      </c>
      <c r="M3" s="13"/>
    </row>
    <row r="4" ht="6" customHeight="1" thickBot="1">
      <c r="H4" s="25"/>
    </row>
    <row r="5" spans="2:13" ht="36" customHeight="1" thickBot="1">
      <c r="B5" s="17" t="s">
        <v>160</v>
      </c>
      <c r="C5" s="162" t="s">
        <v>159</v>
      </c>
      <c r="D5" s="163"/>
      <c r="E5" s="21" t="s">
        <v>161</v>
      </c>
      <c r="F5" s="18" t="s">
        <v>34</v>
      </c>
      <c r="G5" s="19" t="s">
        <v>162</v>
      </c>
      <c r="H5" s="18" t="s">
        <v>46</v>
      </c>
      <c r="I5" s="18" t="s">
        <v>20</v>
      </c>
      <c r="J5" s="22" t="s">
        <v>163</v>
      </c>
      <c r="K5" s="24"/>
      <c r="L5" s="18" t="s">
        <v>22</v>
      </c>
      <c r="M5" s="20"/>
    </row>
    <row r="6" spans="2:14" ht="24" customHeight="1">
      <c r="B6" s="154">
        <v>49</v>
      </c>
      <c r="C6" s="160">
        <f>VLOOKUP($B6,MatchTable!$A$51:$G$66,3)</f>
        <v>41818.541666666664</v>
      </c>
      <c r="D6" s="161" t="str">
        <f aca="true" t="shared" si="0" ref="D6:D21">TEXT(C6,"aaa")</f>
        <v>土</v>
      </c>
      <c r="E6" s="164" t="str">
        <f>VLOOKUP($B6,MatchTable!$A$51:$G$66,5)</f>
        <v>A1</v>
      </c>
      <c r="F6" s="165" t="str">
        <f>IF(A!$G$8=0,"",VLOOKUP($E6,A!$A$4:$D$7,3,FALSE))</f>
        <v>ブラジル</v>
      </c>
      <c r="G6" s="165" t="str">
        <f>IF(A!$G$8=0,"",VLOOKUP($E6,A!$A$4:$D$7,4,FALSE))</f>
        <v>BRA</v>
      </c>
      <c r="H6" s="36"/>
      <c r="I6" s="36"/>
      <c r="J6" s="26">
        <f>IF(H6="","",H6+(I6/100))</f>
      </c>
      <c r="K6" s="248" t="str">
        <f>"W"&amp;B6</f>
        <v>W49</v>
      </c>
      <c r="L6" s="250">
        <f>IF($J6=$J7,"",IF($J6&gt;$J7,F6,F7))</f>
      </c>
      <c r="M6" s="252">
        <f>IF(OR($J6=$J7,$J6="",$J7=""),"",IF($J6&gt;$J7,G6,G7))</f>
      </c>
      <c r="N6" s="11"/>
    </row>
    <row r="7" spans="2:14" ht="24" customHeight="1" thickBot="1">
      <c r="B7" s="158">
        <f>B6</f>
        <v>49</v>
      </c>
      <c r="C7" s="159">
        <f>VLOOKUP($B7,MatchTable!$A$51:$G$66,4)</f>
        <v>41819.041666666664</v>
      </c>
      <c r="D7" s="166" t="str">
        <f t="shared" si="0"/>
        <v>日</v>
      </c>
      <c r="E7" s="15" t="str">
        <f>VLOOKUP($B7,MatchTable!$A$51:$G$66,7)</f>
        <v>B2</v>
      </c>
      <c r="F7" s="167" t="str">
        <f>IF(B!$G$8=0,"",VLOOKUP($E7,B!$A$4:$D$7,3,FALSE))</f>
        <v>チリ</v>
      </c>
      <c r="G7" s="167" t="str">
        <f>IF(B!$G$8=0,"",VLOOKUP($E7,B!$A$4:$D$7,4,FALSE))</f>
        <v>CHI</v>
      </c>
      <c r="H7" s="37"/>
      <c r="I7" s="37"/>
      <c r="J7" s="28">
        <f>IF(H7="","",H7+(I7/100))</f>
      </c>
      <c r="K7" s="249"/>
      <c r="L7" s="251"/>
      <c r="M7" s="253"/>
      <c r="N7" s="11"/>
    </row>
    <row r="8" spans="2:14" ht="24" customHeight="1">
      <c r="B8" s="154">
        <v>50</v>
      </c>
      <c r="C8" s="160">
        <f>VLOOKUP($B8,MatchTable!$A$51:$G$66,3)</f>
        <v>41818.708333333336</v>
      </c>
      <c r="D8" s="161" t="str">
        <f t="shared" si="0"/>
        <v>土</v>
      </c>
      <c r="E8" s="164" t="str">
        <f>VLOOKUP($B8,MatchTable!$A$51:$G$66,5)</f>
        <v>C1</v>
      </c>
      <c r="F8" s="165" t="str">
        <f>IF(C!$G$8=0,"",VLOOKUP($E8,C!$A$4:$D$7,3,FALSE))</f>
        <v>コロンビア</v>
      </c>
      <c r="G8" s="165" t="str">
        <f>IF(C!$G$8=0,"",VLOOKUP($E8,C!$A$4:$D$7,4,FALSE))</f>
        <v>COL</v>
      </c>
      <c r="H8" s="36"/>
      <c r="I8" s="36"/>
      <c r="J8" s="27">
        <f aca="true" t="shared" si="1" ref="J8:J21">IF(H8="","",H8+(I8/100))</f>
      </c>
      <c r="K8" s="248" t="str">
        <f>"W"&amp;B8</f>
        <v>W50</v>
      </c>
      <c r="L8" s="250">
        <f>IF($J8=$J9,"",IF($J8&gt;$J9,F8,F9))</f>
      </c>
      <c r="M8" s="252">
        <f>IF(OR($J8=$J9,$J8="",$J9=""),"",IF($J8&gt;$J9,G8,G9))</f>
      </c>
      <c r="N8" s="11"/>
    </row>
    <row r="9" spans="2:14" ht="24" customHeight="1" thickBot="1">
      <c r="B9" s="158">
        <f>B8</f>
        <v>50</v>
      </c>
      <c r="C9" s="159">
        <f>VLOOKUP($B9,MatchTable!$A$51:$G$66,4)</f>
        <v>41819.208333333336</v>
      </c>
      <c r="D9" s="166" t="str">
        <f t="shared" si="0"/>
        <v>日</v>
      </c>
      <c r="E9" s="15" t="str">
        <f>VLOOKUP($B9,MatchTable!$A$51:$G$66,7)</f>
        <v>D2</v>
      </c>
      <c r="F9" s="167" t="e">
        <f>IF(D!$G$8=0,"",VLOOKUP($E9,D!$A$4:$D$7,3,FALSE))</f>
        <v>#N/A</v>
      </c>
      <c r="G9" s="167" t="e">
        <f>IF(D!$G$8=0,"",VLOOKUP($E9,D!$A$4:$D$7,4,FALSE))</f>
        <v>#N/A</v>
      </c>
      <c r="H9" s="37"/>
      <c r="I9" s="37"/>
      <c r="J9" s="29">
        <f t="shared" si="1"/>
      </c>
      <c r="K9" s="249"/>
      <c r="L9" s="251"/>
      <c r="M9" s="253"/>
      <c r="N9" s="11"/>
    </row>
    <row r="10" spans="2:14" ht="24" customHeight="1">
      <c r="B10" s="154">
        <v>51</v>
      </c>
      <c r="C10" s="160">
        <f>VLOOKUP($B10,MatchTable!$A$51:$G$66,3)</f>
        <v>41819.541666666664</v>
      </c>
      <c r="D10" s="161" t="str">
        <f t="shared" si="0"/>
        <v>日</v>
      </c>
      <c r="E10" s="164" t="s">
        <v>403</v>
      </c>
      <c r="F10" s="165" t="str">
        <f>IF(B!$G$8=0,"",VLOOKUP($E10,B!$A$4:$D$7,3,FALSE))</f>
        <v>オランダ</v>
      </c>
      <c r="G10" s="165" t="str">
        <f>IF(B!$G$8=0,"",VLOOKUP($E10,B!$A$4:$D$7,4,FALSE))</f>
        <v>NED</v>
      </c>
      <c r="H10" s="36"/>
      <c r="I10" s="36"/>
      <c r="J10" s="27">
        <f t="shared" si="1"/>
      </c>
      <c r="K10" s="248" t="str">
        <f>"W"&amp;B10</f>
        <v>W51</v>
      </c>
      <c r="L10" s="250">
        <f>IF($J10=$J11,"",IF($J10&gt;$J11,F10,F11))</f>
      </c>
      <c r="M10" s="252">
        <f>IF(OR($J10=$J11,$J10="",$J11=""),"",IF($J10&gt;$J11,G10,G11))</f>
      </c>
      <c r="N10" s="11"/>
    </row>
    <row r="11" spans="2:14" ht="24" customHeight="1" thickBot="1">
      <c r="B11" s="158">
        <f>B10</f>
        <v>51</v>
      </c>
      <c r="C11" s="159">
        <f>VLOOKUP($B11,MatchTable!$A$51:$G$66,4)</f>
        <v>41820.041666666664</v>
      </c>
      <c r="D11" s="166" t="str">
        <f t="shared" si="0"/>
        <v>月</v>
      </c>
      <c r="E11" s="15" t="s">
        <v>404</v>
      </c>
      <c r="F11" s="167" t="str">
        <f>IF(A!$G$8=0,"",VLOOKUP($E11,A!$A$4:$D$7,3,FALSE))</f>
        <v>メキシコ</v>
      </c>
      <c r="G11" s="167" t="str">
        <f>IF(A!$G$8=0,"",VLOOKUP($E11,A!$A$4:$D$7,4,FALSE))</f>
        <v>MEX</v>
      </c>
      <c r="H11" s="37"/>
      <c r="I11" s="37"/>
      <c r="J11" s="29">
        <f t="shared" si="1"/>
      </c>
      <c r="K11" s="249"/>
      <c r="L11" s="251"/>
      <c r="M11" s="253"/>
      <c r="N11" s="11"/>
    </row>
    <row r="12" spans="2:14" ht="24" customHeight="1">
      <c r="B12" s="154">
        <v>52</v>
      </c>
      <c r="C12" s="160">
        <f>VLOOKUP($B12,MatchTable!$A$51:$G$66,3)</f>
        <v>41819.708333333336</v>
      </c>
      <c r="D12" s="161" t="str">
        <f t="shared" si="0"/>
        <v>日</v>
      </c>
      <c r="E12" s="164" t="s">
        <v>405</v>
      </c>
      <c r="F12" s="165" t="str">
        <f>IF(D!$G$8=0,"",VLOOKUP($E12,D!$A$4:$D$7,3,FALSE))</f>
        <v>コスタリカ</v>
      </c>
      <c r="G12" s="165" t="str">
        <f>IF(D!$G$8=0,"",VLOOKUP($E12,D!$A$4:$D$7,4,FALSE))</f>
        <v>CRC</v>
      </c>
      <c r="H12" s="36"/>
      <c r="I12" s="36"/>
      <c r="J12" s="27">
        <f t="shared" si="1"/>
      </c>
      <c r="K12" s="248" t="str">
        <f>"W"&amp;B12</f>
        <v>W52</v>
      </c>
      <c r="L12" s="250">
        <f>IF($J12=$J13,"",IF($J12&gt;$J13,F12,F13))</f>
      </c>
      <c r="M12" s="252">
        <f>IF(OR($J12=$J13,$J12="",$J13=""),"",IF($J12&gt;$J13,G12,G13))</f>
      </c>
      <c r="N12" s="11"/>
    </row>
    <row r="13" spans="2:14" ht="24" customHeight="1" thickBot="1">
      <c r="B13" s="158">
        <f>B12</f>
        <v>52</v>
      </c>
      <c r="C13" s="159">
        <f>VLOOKUP($B13,MatchTable!$A$51:$G$66,4)</f>
        <v>41820.208333333336</v>
      </c>
      <c r="D13" s="166" t="str">
        <f t="shared" si="0"/>
        <v>月</v>
      </c>
      <c r="E13" s="15" t="s">
        <v>406</v>
      </c>
      <c r="F13" s="167" t="str">
        <f>IF(C!$G$8=0,"",VLOOKUP($E13,C!$A$4:$D$7,3,FALSE))</f>
        <v>コートジボワール</v>
      </c>
      <c r="G13" s="167" t="str">
        <f>IF(C!$G$8=0,"",VLOOKUP($E13,C!$A$4:$D$7,4,FALSE))</f>
        <v>CIV</v>
      </c>
      <c r="H13" s="37"/>
      <c r="I13" s="37"/>
      <c r="J13" s="29">
        <f t="shared" si="1"/>
      </c>
      <c r="K13" s="249"/>
      <c r="L13" s="251"/>
      <c r="M13" s="253"/>
      <c r="N13" s="11"/>
    </row>
    <row r="14" spans="2:14" ht="24" customHeight="1">
      <c r="B14" s="154">
        <v>53</v>
      </c>
      <c r="C14" s="160">
        <f>VLOOKUP($B14,MatchTable!$A$51:$G$66,3)</f>
        <v>41820.541666666664</v>
      </c>
      <c r="D14" s="161" t="str">
        <f t="shared" si="0"/>
        <v>月</v>
      </c>
      <c r="E14" s="164" t="str">
        <f>VLOOKUP($B14,MatchTable!$A$51:$G$66,5)</f>
        <v>E1</v>
      </c>
      <c r="F14" s="165">
        <f>IF(E!$G$8=0,"",VLOOKUP($E14,E!$A$4:$D$7,3,FALSE))</f>
      </c>
      <c r="G14" s="165">
        <f>IF(E!$G$8=0,"",VLOOKUP($E14,E!$A$4:$D$7,4,FALSE))</f>
      </c>
      <c r="H14" s="36"/>
      <c r="I14" s="36"/>
      <c r="J14" s="27">
        <f t="shared" si="1"/>
      </c>
      <c r="K14" s="248" t="str">
        <f>"W"&amp;B14</f>
        <v>W53</v>
      </c>
      <c r="L14" s="250">
        <f>IF($J14=$J15,"",IF($J14&gt;$J15,F14,F15))</f>
      </c>
      <c r="M14" s="252">
        <f>IF(OR($J14=$J15,$J14="",$J15=""),"",IF($J14&gt;$J15,G14,G15))</f>
      </c>
      <c r="N14" s="11"/>
    </row>
    <row r="15" spans="2:14" ht="24" customHeight="1" thickBot="1">
      <c r="B15" s="158">
        <f>B14</f>
        <v>53</v>
      </c>
      <c r="C15" s="159">
        <f>VLOOKUP($B15,MatchTable!$A$51:$G$66,4)</f>
        <v>41821.041666666664</v>
      </c>
      <c r="D15" s="166" t="str">
        <f t="shared" si="0"/>
        <v>火</v>
      </c>
      <c r="E15" s="15" t="str">
        <f>VLOOKUP($B15,MatchTable!$A$51:$G$66,7)</f>
        <v>F2</v>
      </c>
      <c r="F15" s="167">
        <f>IF(F!$G$8=0,"",VLOOKUP($E15,F!$A$4:$D$7,3,FALSE))</f>
      </c>
      <c r="G15" s="167">
        <f>IF(F!$G$8=0,"",VLOOKUP($E15,F!$A$4:$D$7,4,FALSE))</f>
      </c>
      <c r="H15" s="37"/>
      <c r="I15" s="37"/>
      <c r="J15" s="29">
        <f t="shared" si="1"/>
      </c>
      <c r="K15" s="249"/>
      <c r="L15" s="251"/>
      <c r="M15" s="253"/>
      <c r="N15" s="11"/>
    </row>
    <row r="16" spans="2:14" ht="24" customHeight="1">
      <c r="B16" s="154">
        <v>54</v>
      </c>
      <c r="C16" s="160">
        <f>VLOOKUP($B16,MatchTable!$A$51:$G$66,3)</f>
        <v>41820.708333333336</v>
      </c>
      <c r="D16" s="161" t="str">
        <f t="shared" si="0"/>
        <v>月</v>
      </c>
      <c r="E16" s="164" t="str">
        <f>VLOOKUP($B16,MatchTable!$A$51:$G$66,5)</f>
        <v>G1</v>
      </c>
      <c r="F16" s="165">
        <f>IF(G!$G$8=0,"",VLOOKUP($E16,G!$A$4:$D$7,3,FALSE))</f>
      </c>
      <c r="G16" s="165">
        <f>IF(G!$G$8=0,"",VLOOKUP($E16,G!$A$4:$D$7,4,FALSE))</f>
      </c>
      <c r="H16" s="36"/>
      <c r="I16" s="36"/>
      <c r="J16" s="27">
        <f t="shared" si="1"/>
      </c>
      <c r="K16" s="248" t="str">
        <f>"W"&amp;B16</f>
        <v>W54</v>
      </c>
      <c r="L16" s="250">
        <f>IF($J16=$J17,"",IF($J16&gt;$J17,F16,F17))</f>
      </c>
      <c r="M16" s="252">
        <f>IF(OR($J16=$J17,$J16="",$J17=""),"",IF($J16&gt;$J17,G16,G17))</f>
      </c>
      <c r="N16" s="11"/>
    </row>
    <row r="17" spans="2:14" ht="24" customHeight="1" thickBot="1">
      <c r="B17" s="158">
        <f>B16</f>
        <v>54</v>
      </c>
      <c r="C17" s="159">
        <f>VLOOKUP($B17,MatchTable!$A$51:$G$66,4)</f>
        <v>41821.208333333336</v>
      </c>
      <c r="D17" s="166" t="str">
        <f t="shared" si="0"/>
        <v>火</v>
      </c>
      <c r="E17" s="15" t="str">
        <f>VLOOKUP($B17,MatchTable!$A$51:$G$66,7)</f>
        <v>H2</v>
      </c>
      <c r="F17" s="167">
        <f>IF(H!$G$8=0,"",VLOOKUP($E17,H!$A$4:$D$7,3,FALSE))</f>
      </c>
      <c r="G17" s="167">
        <f>IF(H!$G$8=0,"",VLOOKUP($E17,H!$A$4:$D$7,4,FALSE))</f>
      </c>
      <c r="H17" s="37"/>
      <c r="I17" s="37"/>
      <c r="J17" s="29">
        <f t="shared" si="1"/>
      </c>
      <c r="K17" s="249"/>
      <c r="L17" s="251"/>
      <c r="M17" s="253"/>
      <c r="N17" s="11"/>
    </row>
    <row r="18" spans="2:14" ht="24" customHeight="1">
      <c r="B18" s="154">
        <v>55</v>
      </c>
      <c r="C18" s="160">
        <f>VLOOKUP($B18,MatchTable!$A$51:$G$66,3)</f>
        <v>41821.541666666664</v>
      </c>
      <c r="D18" s="161" t="str">
        <f t="shared" si="0"/>
        <v>火</v>
      </c>
      <c r="E18" s="164" t="str">
        <f>VLOOKUP($B18,MatchTable!$A$51:$G$66,5)</f>
        <v>F1</v>
      </c>
      <c r="F18" s="165">
        <f>IF(F!$G$8=0,"",VLOOKUP($E18,F!$A$4:$D$7,3,FALSE))</f>
      </c>
      <c r="G18" s="165">
        <f>IF(F!$G$8=0,"",VLOOKUP($E18,F!$A$4:$D$7,4,FALSE))</f>
      </c>
      <c r="H18" s="36"/>
      <c r="I18" s="36"/>
      <c r="J18" s="27">
        <f t="shared" si="1"/>
      </c>
      <c r="K18" s="248" t="str">
        <f>"W"&amp;B18</f>
        <v>W55</v>
      </c>
      <c r="L18" s="250">
        <f>IF($J18=$J19,"",IF($J18&gt;$J19,F18,F19))</f>
      </c>
      <c r="M18" s="252">
        <f>IF(OR($J18=$J19,$J18="",$J19=""),"",IF($J18&gt;$J19,G18,G19))</f>
      </c>
      <c r="N18" s="11"/>
    </row>
    <row r="19" spans="2:14" ht="24" customHeight="1" thickBot="1">
      <c r="B19" s="158">
        <f>B18</f>
        <v>55</v>
      </c>
      <c r="C19" s="159">
        <f>VLOOKUP($B19,MatchTable!$A$51:$G$66,4)</f>
        <v>41822.041666666664</v>
      </c>
      <c r="D19" s="166" t="str">
        <f t="shared" si="0"/>
        <v>水</v>
      </c>
      <c r="E19" s="15" t="str">
        <f>VLOOKUP($B19,MatchTable!$A$51:$G$66,7)</f>
        <v>E2</v>
      </c>
      <c r="F19" s="167">
        <f>IF(E!$G$8=0,"",VLOOKUP($E19,E!$A$4:$D$7,3,FALSE))</f>
      </c>
      <c r="G19" s="167">
        <f>IF(E!$G$8=0,"",VLOOKUP($E19,E!$A$4:$D$7,4,FALSE))</f>
      </c>
      <c r="H19" s="37"/>
      <c r="I19" s="37"/>
      <c r="J19" s="29">
        <f t="shared" si="1"/>
      </c>
      <c r="K19" s="249"/>
      <c r="L19" s="251"/>
      <c r="M19" s="253"/>
      <c r="N19" s="11"/>
    </row>
    <row r="20" spans="2:14" ht="24" customHeight="1">
      <c r="B20" s="154">
        <v>56</v>
      </c>
      <c r="C20" s="160">
        <f>VLOOKUP($B20,MatchTable!$A$51:$G$66,3)</f>
        <v>41821.708333333336</v>
      </c>
      <c r="D20" s="161" t="str">
        <f t="shared" si="0"/>
        <v>火</v>
      </c>
      <c r="E20" s="164" t="str">
        <f>VLOOKUP($B20,MatchTable!$A$51:$G$66,5)</f>
        <v>H1</v>
      </c>
      <c r="F20" s="165">
        <f>IF(H!$G$8=0,"",VLOOKUP($E20,H!$A$4:$D$7,3,FALSE))</f>
      </c>
      <c r="G20" s="165">
        <f>IF(H!$G$8=0,"",VLOOKUP($E20,H!$A$4:$D$7,4,FALSE))</f>
      </c>
      <c r="H20" s="36"/>
      <c r="I20" s="36"/>
      <c r="J20" s="27">
        <f t="shared" si="1"/>
      </c>
      <c r="K20" s="248" t="str">
        <f>"W"&amp;B20</f>
        <v>W56</v>
      </c>
      <c r="L20" s="250">
        <f>IF($J20=$J21,"",IF($J20&gt;$J21,F20,F21))</f>
      </c>
      <c r="M20" s="252">
        <f>IF(OR($J20=$J21,$J20="",$J21=""),"",IF($J20&gt;$J21,G20,G21))</f>
      </c>
      <c r="N20" s="11"/>
    </row>
    <row r="21" spans="2:14" ht="24" customHeight="1" thickBot="1">
      <c r="B21" s="158">
        <f>B20</f>
        <v>56</v>
      </c>
      <c r="C21" s="159">
        <f>VLOOKUP($B21,MatchTable!$A$51:$G$66,4)</f>
        <v>41822.208333333336</v>
      </c>
      <c r="D21" s="166" t="str">
        <f t="shared" si="0"/>
        <v>水</v>
      </c>
      <c r="E21" s="15" t="str">
        <f>VLOOKUP($B21,MatchTable!$A$51:$G$66,7)</f>
        <v>G2</v>
      </c>
      <c r="F21" s="167">
        <f>IF(G!$G$8=0,"",VLOOKUP($E21,G!$A$4:$D$7,3,FALSE))</f>
      </c>
      <c r="G21" s="167">
        <f>IF(G!$G$8=0,"",VLOOKUP($E21,G!$A$4:$D$7,4,FALSE))</f>
      </c>
      <c r="H21" s="37"/>
      <c r="I21" s="37"/>
      <c r="J21" s="29">
        <f t="shared" si="1"/>
      </c>
      <c r="K21" s="249"/>
      <c r="L21" s="251"/>
      <c r="M21" s="253"/>
      <c r="N21" s="11"/>
    </row>
    <row r="22" ht="24" customHeight="1"/>
    <row r="23" spans="1:13" ht="18" customHeight="1">
      <c r="A23" s="12"/>
      <c r="B23" s="23" t="s">
        <v>433</v>
      </c>
      <c r="C23" s="12"/>
      <c r="D23" s="12"/>
      <c r="E23" s="12"/>
      <c r="F23" s="12"/>
      <c r="G23" s="12"/>
      <c r="H23" s="16" t="s">
        <v>44</v>
      </c>
      <c r="I23" s="12"/>
      <c r="J23" s="12"/>
      <c r="K23" s="12"/>
      <c r="L23" s="12"/>
      <c r="M23" s="13"/>
    </row>
    <row r="24" ht="6" customHeight="1" thickBot="1"/>
    <row r="25" spans="2:13" ht="36" customHeight="1" thickBot="1">
      <c r="B25" s="17" t="s">
        <v>160</v>
      </c>
      <c r="C25" s="162" t="s">
        <v>159</v>
      </c>
      <c r="D25" s="163"/>
      <c r="E25" s="21"/>
      <c r="F25" s="18" t="s">
        <v>34</v>
      </c>
      <c r="G25" s="19" t="s">
        <v>162</v>
      </c>
      <c r="H25" s="18" t="s">
        <v>46</v>
      </c>
      <c r="I25" s="18" t="s">
        <v>20</v>
      </c>
      <c r="J25" s="22" t="s">
        <v>163</v>
      </c>
      <c r="K25" s="24"/>
      <c r="L25" s="18" t="s">
        <v>164</v>
      </c>
      <c r="M25" s="20"/>
    </row>
    <row r="26" spans="2:13" ht="24" customHeight="1">
      <c r="B26" s="154">
        <v>57</v>
      </c>
      <c r="C26" s="160">
        <f>VLOOKUP($B26,MatchTable!$A$51:$G$66,3)</f>
        <v>41824.708333333336</v>
      </c>
      <c r="D26" s="161" t="str">
        <f aca="true" t="shared" si="2" ref="D26:D33">TEXT(C26,"aaa")</f>
        <v>金</v>
      </c>
      <c r="E26" s="14" t="s">
        <v>165</v>
      </c>
      <c r="F26" s="165">
        <f>VLOOKUP($E26,$K$6:$M$21,2,FALSE)</f>
      </c>
      <c r="G26" s="165">
        <f>VLOOKUP($E26,$K$6:$M$21,3,FALSE)</f>
      </c>
      <c r="H26" s="36"/>
      <c r="I26" s="36"/>
      <c r="J26" s="26">
        <f>IF(H26="","",H26+(I26/100))</f>
      </c>
      <c r="K26" s="248" t="str">
        <f>"W"&amp;B26</f>
        <v>W57</v>
      </c>
      <c r="L26" s="250">
        <f>IF($J26=$J27,"",IF($J26&gt;$J27,F26,F27))</f>
      </c>
      <c r="M26" s="252">
        <f>IF(OR($J26=$J27,$J26="",$J27=""),"",IF($J26&gt;$J27,G26,G27))</f>
      </c>
    </row>
    <row r="27" spans="2:13" ht="24" customHeight="1" thickBot="1">
      <c r="B27" s="158">
        <f>B26</f>
        <v>57</v>
      </c>
      <c r="C27" s="159">
        <f>VLOOKUP($B27,MatchTable!$A$51:$G$66,4)</f>
        <v>41825.208333333336</v>
      </c>
      <c r="D27" s="166" t="str">
        <f t="shared" si="2"/>
        <v>土</v>
      </c>
      <c r="E27" s="15" t="s">
        <v>166</v>
      </c>
      <c r="F27" s="167">
        <f aca="true" t="shared" si="3" ref="F27:F33">VLOOKUP($E27,$K$6:$M$21,2,FALSE)</f>
      </c>
      <c r="G27" s="167">
        <f aca="true" t="shared" si="4" ref="G27:G33">VLOOKUP($E27,$K$6:$M$21,3,FALSE)</f>
      </c>
      <c r="H27" s="37"/>
      <c r="I27" s="37"/>
      <c r="J27" s="28">
        <f>IF(H27="","",H27+(I27/100))</f>
      </c>
      <c r="K27" s="249"/>
      <c r="L27" s="251"/>
      <c r="M27" s="253"/>
    </row>
    <row r="28" spans="2:13" ht="24" customHeight="1">
      <c r="B28" s="154">
        <v>58</v>
      </c>
      <c r="C28" s="160">
        <f>VLOOKUP($B28,MatchTable!$A$51:$G$66,3)</f>
        <v>41824.541666666664</v>
      </c>
      <c r="D28" s="161" t="str">
        <f t="shared" si="2"/>
        <v>金</v>
      </c>
      <c r="E28" s="14" t="s">
        <v>167</v>
      </c>
      <c r="F28" s="165">
        <f t="shared" si="3"/>
      </c>
      <c r="G28" s="165">
        <f t="shared" si="4"/>
      </c>
      <c r="H28" s="36"/>
      <c r="I28" s="36"/>
      <c r="J28" s="27">
        <f aca="true" t="shared" si="5" ref="J28:J33">IF(H28="","",H28+(I28/100))</f>
      </c>
      <c r="K28" s="248" t="str">
        <f>"W"&amp;B28</f>
        <v>W58</v>
      </c>
      <c r="L28" s="250">
        <f>IF($J28=$J29,"",IF($J28&gt;$J29,F28,F29))</f>
      </c>
      <c r="M28" s="252">
        <f>IF(OR($J28=$J29,$J28="",$J29=""),"",IF($J28&gt;$J29,G28,G29))</f>
      </c>
    </row>
    <row r="29" spans="2:13" ht="24" customHeight="1" thickBot="1">
      <c r="B29" s="158">
        <f>B28</f>
        <v>58</v>
      </c>
      <c r="C29" s="159">
        <f>VLOOKUP($B29,MatchTable!$A$51:$G$66,4)</f>
        <v>41825.041666666664</v>
      </c>
      <c r="D29" s="166" t="str">
        <f t="shared" si="2"/>
        <v>土</v>
      </c>
      <c r="E29" s="15" t="s">
        <v>168</v>
      </c>
      <c r="F29" s="167">
        <f t="shared" si="3"/>
      </c>
      <c r="G29" s="167">
        <f t="shared" si="4"/>
      </c>
      <c r="H29" s="37"/>
      <c r="I29" s="37"/>
      <c r="J29" s="29">
        <f t="shared" si="5"/>
      </c>
      <c r="K29" s="249"/>
      <c r="L29" s="251"/>
      <c r="M29" s="253"/>
    </row>
    <row r="30" spans="2:13" ht="24" customHeight="1">
      <c r="B30" s="154">
        <v>59</v>
      </c>
      <c r="C30" s="160">
        <f>VLOOKUP($B30,MatchTable!$A$51:$G$66,3)</f>
        <v>41825.708333333336</v>
      </c>
      <c r="D30" s="161" t="str">
        <f t="shared" si="2"/>
        <v>土</v>
      </c>
      <c r="E30" s="14" t="s">
        <v>169</v>
      </c>
      <c r="F30" s="165">
        <f t="shared" si="3"/>
      </c>
      <c r="G30" s="165">
        <f t="shared" si="4"/>
      </c>
      <c r="H30" s="36"/>
      <c r="I30" s="36"/>
      <c r="J30" s="27">
        <f t="shared" si="5"/>
      </c>
      <c r="K30" s="248" t="str">
        <f>"W"&amp;B30</f>
        <v>W59</v>
      </c>
      <c r="L30" s="250">
        <f>IF($J30=$J31,"",IF($J30&gt;$J31,F30,F31))</f>
      </c>
      <c r="M30" s="252">
        <f>IF(OR($J30=$J31,$J30="",$J31=""),"",IF($J30&gt;$J31,G30,G31))</f>
      </c>
    </row>
    <row r="31" spans="2:13" ht="24" customHeight="1" thickBot="1">
      <c r="B31" s="158">
        <f>B30</f>
        <v>59</v>
      </c>
      <c r="C31" s="159">
        <f>VLOOKUP($B31,MatchTable!$A$51:$G$66,4)</f>
        <v>41826.208333333336</v>
      </c>
      <c r="D31" s="166" t="str">
        <f t="shared" si="2"/>
        <v>日</v>
      </c>
      <c r="E31" s="15" t="s">
        <v>170</v>
      </c>
      <c r="F31" s="167">
        <f t="shared" si="3"/>
      </c>
      <c r="G31" s="167">
        <f t="shared" si="4"/>
      </c>
      <c r="H31" s="37"/>
      <c r="I31" s="37"/>
      <c r="J31" s="29">
        <f t="shared" si="5"/>
      </c>
      <c r="K31" s="249"/>
      <c r="L31" s="251"/>
      <c r="M31" s="253"/>
    </row>
    <row r="32" spans="2:13" ht="24" customHeight="1">
      <c r="B32" s="154">
        <v>60</v>
      </c>
      <c r="C32" s="160">
        <f>VLOOKUP($B32,MatchTable!$A$51:$G$66,3)</f>
        <v>41825.541666666664</v>
      </c>
      <c r="D32" s="161" t="str">
        <f t="shared" si="2"/>
        <v>土</v>
      </c>
      <c r="E32" s="14" t="s">
        <v>171</v>
      </c>
      <c r="F32" s="165">
        <f t="shared" si="3"/>
      </c>
      <c r="G32" s="165">
        <f t="shared" si="4"/>
      </c>
      <c r="H32" s="36"/>
      <c r="I32" s="36"/>
      <c r="J32" s="27">
        <f t="shared" si="5"/>
      </c>
      <c r="K32" s="248" t="str">
        <f>"W"&amp;B32</f>
        <v>W60</v>
      </c>
      <c r="L32" s="250">
        <f>IF($J32=$J33,"",IF($J32&gt;$J33,F32,F33))</f>
      </c>
      <c r="M32" s="252">
        <f>IF(OR($J32=$J33,$J32="",$J33=""),"",IF($J32&gt;$J33,G32,G33))</f>
      </c>
    </row>
    <row r="33" spans="2:13" ht="24" customHeight="1" thickBot="1">
      <c r="B33" s="158">
        <f>B32</f>
        <v>60</v>
      </c>
      <c r="C33" s="159">
        <f>VLOOKUP($B33,MatchTable!$A$51:$G$66,4)</f>
        <v>41826.041666666664</v>
      </c>
      <c r="D33" s="166" t="str">
        <f t="shared" si="2"/>
        <v>日</v>
      </c>
      <c r="E33" s="15" t="s">
        <v>172</v>
      </c>
      <c r="F33" s="167">
        <f t="shared" si="3"/>
      </c>
      <c r="G33" s="167">
        <f t="shared" si="4"/>
      </c>
      <c r="H33" s="37"/>
      <c r="I33" s="37"/>
      <c r="J33" s="29">
        <f t="shared" si="5"/>
      </c>
      <c r="K33" s="249"/>
      <c r="L33" s="251"/>
      <c r="M33" s="253"/>
    </row>
    <row r="34" ht="24" customHeight="1">
      <c r="B34" s="8"/>
    </row>
    <row r="35" ht="18" customHeight="1"/>
    <row r="36" spans="1:13" ht="18" customHeight="1">
      <c r="A36" s="12"/>
      <c r="B36" s="23" t="s">
        <v>434</v>
      </c>
      <c r="C36" s="12"/>
      <c r="D36" s="12"/>
      <c r="E36" s="12"/>
      <c r="F36" s="12"/>
      <c r="G36" s="12"/>
      <c r="H36" s="16" t="s">
        <v>44</v>
      </c>
      <c r="I36" s="12"/>
      <c r="J36" s="12"/>
      <c r="K36" s="12"/>
      <c r="L36" s="12"/>
      <c r="M36" s="13"/>
    </row>
    <row r="37" ht="6" customHeight="1" thickBot="1"/>
    <row r="38" spans="2:13" ht="36" customHeight="1" thickBot="1">
      <c r="B38" s="17" t="s">
        <v>160</v>
      </c>
      <c r="C38" s="162" t="s">
        <v>159</v>
      </c>
      <c r="D38" s="163"/>
      <c r="E38" s="21"/>
      <c r="F38" s="18" t="s">
        <v>34</v>
      </c>
      <c r="G38" s="19" t="s">
        <v>162</v>
      </c>
      <c r="H38" s="18" t="s">
        <v>46</v>
      </c>
      <c r="I38" s="18" t="s">
        <v>20</v>
      </c>
      <c r="J38" s="22" t="s">
        <v>163</v>
      </c>
      <c r="K38" s="24"/>
      <c r="L38" s="18" t="s">
        <v>173</v>
      </c>
      <c r="M38" s="20"/>
    </row>
    <row r="39" spans="2:13" ht="24" customHeight="1">
      <c r="B39" s="154">
        <v>61</v>
      </c>
      <c r="C39" s="160">
        <f>VLOOKUP($B39,MatchTable!$A$51:$G$66,3)</f>
        <v>41828.708333333336</v>
      </c>
      <c r="D39" s="161" t="str">
        <f>TEXT(C39,"aaa")</f>
        <v>火</v>
      </c>
      <c r="E39" s="14" t="s">
        <v>174</v>
      </c>
      <c r="F39" s="165">
        <f>VLOOKUP($E39,$K$26:$M$32,2,FALSE)</f>
      </c>
      <c r="G39" s="165">
        <f>VLOOKUP($E39,$K$26:$M$32,3,FALSE)</f>
      </c>
      <c r="H39" s="36"/>
      <c r="I39" s="36"/>
      <c r="J39" s="26">
        <f>IF(H39="","",H39+(I39/100))</f>
      </c>
      <c r="K39" s="248" t="str">
        <f>"W"&amp;B39</f>
        <v>W61</v>
      </c>
      <c r="L39" s="250">
        <f>IF($J39=$J40,"",IF($J39&gt;$J40,F39,F40))</f>
      </c>
      <c r="M39" s="252">
        <f>IF(OR($J39=$J40,$J39="",$J40=""),"",IF($J39&gt;$J40,G39,G40))</f>
      </c>
    </row>
    <row r="40" spans="2:13" ht="24" customHeight="1" thickBot="1">
      <c r="B40" s="158">
        <f>B39</f>
        <v>61</v>
      </c>
      <c r="C40" s="159">
        <f>VLOOKUP($B40,MatchTable!$A$51:$G$66,4)</f>
        <v>41829.208333333336</v>
      </c>
      <c r="D40" s="166" t="str">
        <f>TEXT(C40,"aaa")</f>
        <v>水</v>
      </c>
      <c r="E40" s="15" t="s">
        <v>175</v>
      </c>
      <c r="F40" s="167">
        <f>VLOOKUP($E40,$K$26:$M$32,2,FALSE)</f>
      </c>
      <c r="G40" s="167">
        <f>VLOOKUP($E40,$K$26:$M$32,3,FALSE)</f>
      </c>
      <c r="H40" s="37"/>
      <c r="I40" s="37"/>
      <c r="J40" s="28">
        <f>IF(H40="","",H40+(I40/100))</f>
      </c>
      <c r="K40" s="249"/>
      <c r="L40" s="251"/>
      <c r="M40" s="253"/>
    </row>
    <row r="41" spans="2:13" ht="24" customHeight="1">
      <c r="B41" s="154">
        <v>62</v>
      </c>
      <c r="C41" s="160">
        <f>VLOOKUP($B41,MatchTable!$A$51:$G$66,3)</f>
        <v>41829.708333333336</v>
      </c>
      <c r="D41" s="161" t="str">
        <f>TEXT(C41,"aaa")</f>
        <v>水</v>
      </c>
      <c r="E41" s="14" t="s">
        <v>176</v>
      </c>
      <c r="F41" s="165">
        <f>VLOOKUP($E41,$K$26:$M$32,2,FALSE)</f>
      </c>
      <c r="G41" s="165">
        <f>VLOOKUP($E41,$K$26:$M$32,3,FALSE)</f>
      </c>
      <c r="H41" s="36"/>
      <c r="I41" s="36"/>
      <c r="J41" s="27">
        <f>IF(H41="","",H41+(I41/100))</f>
      </c>
      <c r="K41" s="248" t="str">
        <f>"W"&amp;B41</f>
        <v>W62</v>
      </c>
      <c r="L41" s="250">
        <f>IF($J41=$J42,"",IF($J41&gt;$J42,F41,F42))</f>
      </c>
      <c r="M41" s="252">
        <f>IF(OR($J41=$J42,$J41="",$J42=""),"",IF($J41&gt;$J42,G41,G42))</f>
      </c>
    </row>
    <row r="42" spans="2:13" ht="24" customHeight="1" thickBot="1">
      <c r="B42" s="158">
        <f>B41</f>
        <v>62</v>
      </c>
      <c r="C42" s="159">
        <f>VLOOKUP($B42,MatchTable!$A$51:$G$66,4)</f>
        <v>41830.208333333336</v>
      </c>
      <c r="D42" s="166" t="str">
        <f>TEXT(C42,"aaa")</f>
        <v>木</v>
      </c>
      <c r="E42" s="15" t="s">
        <v>177</v>
      </c>
      <c r="F42" s="167">
        <f>VLOOKUP($E42,$K$26:$M$32,2,FALSE)</f>
      </c>
      <c r="G42" s="167">
        <f>VLOOKUP($E42,$K$26:$M$32,3,FALSE)</f>
      </c>
      <c r="H42" s="37"/>
      <c r="I42" s="37"/>
      <c r="J42" s="29">
        <f>IF(H42="","",H42+(I42/100))</f>
      </c>
      <c r="K42" s="249"/>
      <c r="L42" s="251"/>
      <c r="M42" s="253"/>
    </row>
    <row r="43" spans="2:13" ht="6" customHeight="1">
      <c r="B43" s="11"/>
      <c r="C43" s="168"/>
      <c r="D43" s="169"/>
      <c r="E43" s="11"/>
      <c r="F43" s="115"/>
      <c r="G43" s="115"/>
      <c r="J43" s="30"/>
      <c r="K43" s="170"/>
      <c r="L43" s="31"/>
      <c r="M43" s="115"/>
    </row>
    <row r="44" spans="2:13" ht="6" customHeight="1">
      <c r="B44" s="11"/>
      <c r="C44" s="168"/>
      <c r="D44" s="169"/>
      <c r="E44" s="11"/>
      <c r="F44" s="115"/>
      <c r="G44" s="115"/>
      <c r="J44" s="30"/>
      <c r="K44" s="170"/>
      <c r="L44" s="31"/>
      <c r="M44" s="115"/>
    </row>
    <row r="45" spans="11:13" ht="14.25">
      <c r="K45" s="32"/>
      <c r="L45" s="33" t="s">
        <v>178</v>
      </c>
      <c r="M45" s="34"/>
    </row>
    <row r="46" spans="11:13" ht="12" customHeight="1">
      <c r="K46" s="254" t="str">
        <f>"L"&amp;B39</f>
        <v>L61</v>
      </c>
      <c r="L46" s="256">
        <f>IF($J39=$J40,"",IF($J39&lt;$J40,F39,F40))</f>
      </c>
      <c r="M46" s="257">
        <f>IF($J39=$J40,"",IF($J39&lt;$J40,G39,G40))</f>
      </c>
    </row>
    <row r="47" spans="11:13" ht="12" customHeight="1">
      <c r="K47" s="255"/>
      <c r="L47" s="256"/>
      <c r="M47" s="257"/>
    </row>
    <row r="48" spans="11:13" ht="12" customHeight="1">
      <c r="K48" s="254" t="str">
        <f>"L"&amp;B41</f>
        <v>L62</v>
      </c>
      <c r="L48" s="256">
        <f>IF($J41=$J42,"",IF($J41&lt;$J42,F41,F42))</f>
      </c>
      <c r="M48" s="257">
        <f>IF($J41=$J42,"",IF($J41&lt;$J42,G41,G42))</f>
      </c>
    </row>
    <row r="49" spans="11:13" ht="12" customHeight="1">
      <c r="K49" s="255"/>
      <c r="L49" s="256"/>
      <c r="M49" s="257"/>
    </row>
    <row r="51" spans="1:13" ht="18" customHeight="1">
      <c r="A51" s="12"/>
      <c r="B51" s="23" t="s">
        <v>179</v>
      </c>
      <c r="C51" s="12"/>
      <c r="D51" s="12"/>
      <c r="E51" s="12"/>
      <c r="F51" s="12"/>
      <c r="G51" s="12"/>
      <c r="H51" s="16" t="s">
        <v>44</v>
      </c>
      <c r="I51" s="12"/>
      <c r="J51" s="12"/>
      <c r="K51" s="12"/>
      <c r="L51" s="12"/>
      <c r="M51" s="13"/>
    </row>
    <row r="52" ht="6" customHeight="1" thickBot="1"/>
    <row r="53" spans="2:13" ht="36" customHeight="1" thickBot="1">
      <c r="B53" s="17" t="s">
        <v>160</v>
      </c>
      <c r="C53" s="162" t="s">
        <v>159</v>
      </c>
      <c r="D53" s="163"/>
      <c r="E53" s="21"/>
      <c r="F53" s="18" t="s">
        <v>34</v>
      </c>
      <c r="G53" s="19" t="s">
        <v>162</v>
      </c>
      <c r="H53" s="18" t="s">
        <v>46</v>
      </c>
      <c r="I53" s="18" t="s">
        <v>20</v>
      </c>
      <c r="J53" s="22" t="s">
        <v>163</v>
      </c>
      <c r="K53" s="24"/>
      <c r="L53" s="18" t="s">
        <v>180</v>
      </c>
      <c r="M53" s="20"/>
    </row>
    <row r="54" spans="2:13" ht="24" customHeight="1">
      <c r="B54" s="154">
        <v>63</v>
      </c>
      <c r="C54" s="160">
        <f>VLOOKUP($B54,MatchTable!$A$51:$G$66,3)</f>
        <v>41832.708333333336</v>
      </c>
      <c r="D54" s="161" t="str">
        <f>TEXT(C54,"aaa")</f>
        <v>土</v>
      </c>
      <c r="E54" s="14" t="s">
        <v>181</v>
      </c>
      <c r="F54" s="165">
        <f>VLOOKUP($E54,$K$46:$M$49,2,FALSE)</f>
      </c>
      <c r="G54" s="165">
        <f>VLOOKUP($E54,$K$46:$M$49,3,FALSE)</f>
      </c>
      <c r="H54" s="36"/>
      <c r="I54" s="36"/>
      <c r="J54" s="26">
        <f>IF(H54="","",H54+(I54/100))</f>
      </c>
      <c r="K54" s="248" t="str">
        <f>"W"&amp;B54</f>
        <v>W63</v>
      </c>
      <c r="L54" s="250">
        <f>IF($J54=$J55,"",IF($J54&gt;$J55,F54,F55))</f>
      </c>
      <c r="M54" s="252">
        <f>IF(OR($J54=$J55,$J54="",$J55=""),"",IF($J54&gt;$J55,G54,G55))</f>
      </c>
    </row>
    <row r="55" spans="2:13" ht="24" customHeight="1" thickBot="1">
      <c r="B55" s="158">
        <f>B54</f>
        <v>63</v>
      </c>
      <c r="C55" s="159">
        <f>VLOOKUP($B55,MatchTable!$A$51:$G$66,4)</f>
        <v>41833.208333333336</v>
      </c>
      <c r="D55" s="166" t="str">
        <f>TEXT(C55,"aaa")</f>
        <v>日</v>
      </c>
      <c r="E55" s="15" t="s">
        <v>182</v>
      </c>
      <c r="F55" s="167">
        <f>VLOOKUP($E55,$K$46:$M$49,2,FALSE)</f>
      </c>
      <c r="G55" s="167">
        <f>VLOOKUP($E55,$K$46:$M$49,3,FALSE)</f>
      </c>
      <c r="H55" s="37"/>
      <c r="I55" s="37"/>
      <c r="J55" s="28">
        <f>IF(H55="","",H55+(I55/100))</f>
      </c>
      <c r="K55" s="249"/>
      <c r="L55" s="251"/>
      <c r="M55" s="253"/>
    </row>
    <row r="59" spans="1:13" ht="18" customHeight="1">
      <c r="A59" s="12"/>
      <c r="B59" s="23" t="s">
        <v>183</v>
      </c>
      <c r="C59" s="12"/>
      <c r="D59" s="12"/>
      <c r="E59" s="12"/>
      <c r="F59" s="12"/>
      <c r="G59" s="12"/>
      <c r="H59" s="16" t="s">
        <v>44</v>
      </c>
      <c r="I59" s="12"/>
      <c r="J59" s="12"/>
      <c r="K59" s="12"/>
      <c r="L59" s="12"/>
      <c r="M59" s="13"/>
    </row>
    <row r="60" ht="6" customHeight="1" thickBot="1"/>
    <row r="61" spans="2:13" ht="36" customHeight="1" thickBot="1">
      <c r="B61" s="17" t="s">
        <v>160</v>
      </c>
      <c r="C61" s="162" t="s">
        <v>159</v>
      </c>
      <c r="D61" s="163"/>
      <c r="E61" s="21"/>
      <c r="F61" s="18" t="s">
        <v>34</v>
      </c>
      <c r="G61" s="19" t="s">
        <v>162</v>
      </c>
      <c r="H61" s="18" t="s">
        <v>46</v>
      </c>
      <c r="I61" s="18" t="s">
        <v>20</v>
      </c>
      <c r="J61" s="22" t="s">
        <v>163</v>
      </c>
      <c r="K61" s="24"/>
      <c r="L61" s="35" t="s">
        <v>184</v>
      </c>
      <c r="M61" s="20"/>
    </row>
    <row r="62" spans="2:13" ht="24" customHeight="1">
      <c r="B62" s="154">
        <v>64</v>
      </c>
      <c r="C62" s="160">
        <f>VLOOKUP($B62,MatchTable!$A$51:$G$66,3)</f>
        <v>41833.666666666664</v>
      </c>
      <c r="D62" s="161" t="str">
        <f>TEXT(C62,"aaa")</f>
        <v>日</v>
      </c>
      <c r="E62" s="14" t="s">
        <v>185</v>
      </c>
      <c r="F62" s="165">
        <f>VLOOKUP($E62,$K$39:$M$42,2,FALSE)</f>
      </c>
      <c r="G62" s="165">
        <f>VLOOKUP($E62,$K$39:$M$42,3,FALSE)</f>
      </c>
      <c r="H62" s="36"/>
      <c r="I62" s="36"/>
      <c r="J62" s="26">
        <f>IF(H62="","",H62+(I62/100))</f>
      </c>
      <c r="K62" s="248" t="str">
        <f>"W"&amp;B62</f>
        <v>W64</v>
      </c>
      <c r="L62" s="250">
        <f>IF($J62=$J63,"",IF($J62&gt;$J63,F62,F63))</f>
      </c>
      <c r="M62" s="252">
        <f>IF(OR($J62=$J63,$J62="",$J63=""),"",IF($J62&gt;$J63,G62,G63))</f>
      </c>
    </row>
    <row r="63" spans="2:13" ht="24" customHeight="1" thickBot="1">
      <c r="B63" s="158">
        <f>B62</f>
        <v>64</v>
      </c>
      <c r="C63" s="159">
        <f>VLOOKUP($B63,MatchTable!$A$51:$G$66,4)</f>
        <v>41834.166666666664</v>
      </c>
      <c r="D63" s="166" t="str">
        <f>TEXT(C63,"aaa")</f>
        <v>月</v>
      </c>
      <c r="E63" s="15" t="s">
        <v>186</v>
      </c>
      <c r="F63" s="167">
        <f>VLOOKUP($E63,$K$39:$M$42,2,FALSE)</f>
      </c>
      <c r="G63" s="167">
        <f>VLOOKUP($E63,$K$39:$M$42,3,FALSE)</f>
      </c>
      <c r="H63" s="37"/>
      <c r="I63" s="37"/>
      <c r="J63" s="28">
        <f>IF(H63="","",H63+(I63/100))</f>
      </c>
      <c r="K63" s="249"/>
      <c r="L63" s="251"/>
      <c r="M63" s="253"/>
    </row>
  </sheetData>
  <mergeCells count="54">
    <mergeCell ref="M12:M13"/>
    <mergeCell ref="M6:M7"/>
    <mergeCell ref="K10:K11"/>
    <mergeCell ref="M8:M9"/>
    <mergeCell ref="M10:M11"/>
    <mergeCell ref="K8:K9"/>
    <mergeCell ref="L8:L9"/>
    <mergeCell ref="L10:L11"/>
    <mergeCell ref="K6:K7"/>
    <mergeCell ref="L6:L7"/>
    <mergeCell ref="M14:M15"/>
    <mergeCell ref="K16:K17"/>
    <mergeCell ref="L16:L17"/>
    <mergeCell ref="M16:M17"/>
    <mergeCell ref="K14:K15"/>
    <mergeCell ref="L14:L15"/>
    <mergeCell ref="K12:K13"/>
    <mergeCell ref="L12:L13"/>
    <mergeCell ref="K18:K19"/>
    <mergeCell ref="L18:L19"/>
    <mergeCell ref="M18:M19"/>
    <mergeCell ref="K20:K21"/>
    <mergeCell ref="L20:L21"/>
    <mergeCell ref="M20:M21"/>
    <mergeCell ref="K26:K27"/>
    <mergeCell ref="L26:L27"/>
    <mergeCell ref="M26:M27"/>
    <mergeCell ref="K28:K29"/>
    <mergeCell ref="L28:L29"/>
    <mergeCell ref="M28:M29"/>
    <mergeCell ref="K30:K31"/>
    <mergeCell ref="L30:L31"/>
    <mergeCell ref="M30:M31"/>
    <mergeCell ref="M39:M40"/>
    <mergeCell ref="K32:K33"/>
    <mergeCell ref="L32:L33"/>
    <mergeCell ref="M32:M33"/>
    <mergeCell ref="K39:K40"/>
    <mergeCell ref="L39:L40"/>
    <mergeCell ref="K41:K42"/>
    <mergeCell ref="L41:L42"/>
    <mergeCell ref="M41:M42"/>
    <mergeCell ref="M46:M47"/>
    <mergeCell ref="K46:K47"/>
    <mergeCell ref="L46:L47"/>
    <mergeCell ref="K62:K63"/>
    <mergeCell ref="L62:L63"/>
    <mergeCell ref="M62:M63"/>
    <mergeCell ref="K48:K49"/>
    <mergeCell ref="L48:L49"/>
    <mergeCell ref="M48:M49"/>
    <mergeCell ref="K54:K55"/>
    <mergeCell ref="L54:L55"/>
    <mergeCell ref="M54:M55"/>
  </mergeCells>
  <dataValidations count="2">
    <dataValidation type="custom" allowBlank="1" showInputMessage="1" showErrorMessage="1" sqref="I6 I18 I8 I10 I12 I14 I16 I20 I26 I28 I30 I32 I39 I41 I54 I62">
      <formula1>H6=H7</formula1>
    </dataValidation>
    <dataValidation type="custom" allowBlank="1" showInputMessage="1" showErrorMessage="1" sqref="I7 I19 I9 I11 I13 I15 I17 I21 I27 I29 I31 I33 I40 I42 I55 I63">
      <formula1>H6=H7</formula1>
    </dataValidation>
  </dataValidation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rowBreaks count="1" manualBreakCount="1">
    <brk id="34" max="255" man="1"/>
  </rowBreaks>
  <ignoredErrors>
    <ignoredError sqref="C41 C32 C30 C2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E1" sqref="E1"/>
    </sheetView>
  </sheetViews>
  <sheetFormatPr defaultColWidth="8.796875" defaultRowHeight="15.75" customHeight="1"/>
  <cols>
    <col min="1" max="1" width="6.5" style="9" customWidth="1"/>
    <col min="2" max="2" width="4.3984375" style="9" bestFit="1" customWidth="1"/>
    <col min="3" max="3" width="10.19921875" style="143" bestFit="1" customWidth="1"/>
    <col min="4" max="4" width="12.59765625" style="143" customWidth="1"/>
    <col min="5" max="5" width="16.09765625" style="144" bestFit="1" customWidth="1"/>
    <col min="6" max="6" width="4.8984375" style="9" bestFit="1" customWidth="1"/>
    <col min="7" max="7" width="16.09765625" style="8" bestFit="1" customWidth="1"/>
    <col min="8" max="8" width="4.8984375" style="144" bestFit="1" customWidth="1"/>
    <col min="9" max="9" width="3.69921875" style="9" bestFit="1" customWidth="1"/>
    <col min="10" max="10" width="12.19921875" style="112" bestFit="1" customWidth="1"/>
    <col min="11" max="11" width="6.19921875" style="8" bestFit="1" customWidth="1"/>
    <col min="12" max="16384" width="9" style="8" customWidth="1"/>
  </cols>
  <sheetData>
    <row r="1" spans="1:10" ht="15.75" customHeight="1">
      <c r="A1" s="138" t="s">
        <v>118</v>
      </c>
      <c r="B1" s="128"/>
      <c r="C1" s="139"/>
      <c r="D1" s="138" t="s">
        <v>119</v>
      </c>
      <c r="E1" s="127"/>
      <c r="F1" s="128"/>
      <c r="G1" s="129"/>
      <c r="H1" s="130"/>
      <c r="I1" s="128"/>
      <c r="J1" s="131"/>
    </row>
    <row r="2" spans="1:11" ht="15.75" customHeight="1">
      <c r="A2" s="132" t="s">
        <v>112</v>
      </c>
      <c r="B2" s="132" t="s">
        <v>111</v>
      </c>
      <c r="C2" s="140" t="s">
        <v>113</v>
      </c>
      <c r="D2" s="140" t="s">
        <v>120</v>
      </c>
      <c r="E2" s="132"/>
      <c r="F2" s="132"/>
      <c r="G2" s="132"/>
      <c r="H2" s="132"/>
      <c r="I2" s="132" t="s">
        <v>419</v>
      </c>
      <c r="J2" s="133" t="s">
        <v>114</v>
      </c>
      <c r="K2" s="8" t="s">
        <v>428</v>
      </c>
    </row>
    <row r="3" spans="1:11" ht="15.75" customHeight="1">
      <c r="A3" s="141">
        <v>1</v>
      </c>
      <c r="B3" s="141" t="s">
        <v>410</v>
      </c>
      <c r="C3" s="142">
        <v>41802.708333333336</v>
      </c>
      <c r="D3" s="142">
        <f>IF(K3=-3,C3+"12:00",C3+"13:00")</f>
        <v>41803.208333333336</v>
      </c>
      <c r="E3" s="134" t="s">
        <v>73</v>
      </c>
      <c r="F3" s="135" t="str">
        <f>VLOOKUP(E3,Teams!$D$3:$E$34,2)</f>
        <v>BRA</v>
      </c>
      <c r="G3" s="136" t="s">
        <v>292</v>
      </c>
      <c r="H3" s="137" t="str">
        <f>VLOOKUP(G3,Teams!$D$3:$E$34,2)</f>
        <v>CRO</v>
      </c>
      <c r="I3" s="137">
        <v>12</v>
      </c>
      <c r="J3" s="137" t="str">
        <f>VLOOKUP(I3,Venue!$A$4:$E$15,2)</f>
        <v>Sao Paulo</v>
      </c>
      <c r="K3" s="137">
        <f>VLOOKUP(I3,Venue!$A$4:$E$15,5)</f>
        <v>-3</v>
      </c>
    </row>
    <row r="4" spans="1:11" ht="15.75" customHeight="1">
      <c r="A4" s="141">
        <v>2</v>
      </c>
      <c r="B4" s="141" t="s">
        <v>410</v>
      </c>
      <c r="C4" s="142">
        <v>41803.541666666664</v>
      </c>
      <c r="D4" s="142">
        <f aca="true" t="shared" si="0" ref="D4:D66">IF(K4=-3,C4+"12:00",C4+"13:00")</f>
        <v>41804.041666666664</v>
      </c>
      <c r="E4" s="134" t="s">
        <v>56</v>
      </c>
      <c r="F4" s="135" t="str">
        <f>VLOOKUP(E4,Teams!$D$3:$E$34,2)</f>
        <v>MEX</v>
      </c>
      <c r="G4" s="136" t="s">
        <v>423</v>
      </c>
      <c r="H4" s="137" t="str">
        <f>VLOOKUP(G4,Teams!$D$3:$E$34,2)</f>
        <v>CMR</v>
      </c>
      <c r="I4" s="137">
        <v>7</v>
      </c>
      <c r="J4" s="137" t="str">
        <f>VLOOKUP(I4,Venue!$A$4:$E$15,2)</f>
        <v>Natal</v>
      </c>
      <c r="K4" s="137">
        <f>VLOOKUP(I4,Venue!$A$4:$E$15,5)</f>
        <v>-3</v>
      </c>
    </row>
    <row r="5" spans="1:11" ht="15.75" customHeight="1">
      <c r="A5" s="141">
        <v>3</v>
      </c>
      <c r="B5" s="141" t="s">
        <v>411</v>
      </c>
      <c r="C5" s="142">
        <v>41803.666666666664</v>
      </c>
      <c r="D5" s="142">
        <f t="shared" si="0"/>
        <v>41804.166666666664</v>
      </c>
      <c r="E5" s="134" t="s">
        <v>426</v>
      </c>
      <c r="F5" s="135" t="str">
        <f>VLOOKUP(E5,Teams!$D$3:$E$34,2)</f>
        <v>ESP</v>
      </c>
      <c r="G5" s="136" t="s">
        <v>68</v>
      </c>
      <c r="H5" s="137" t="str">
        <f>VLOOKUP(G5,Teams!$D$3:$E$34,2)</f>
        <v>NED</v>
      </c>
      <c r="I5" s="137">
        <v>11</v>
      </c>
      <c r="J5" s="137" t="str">
        <f>VLOOKUP(I5,Venue!$A$4:$E$15,2)</f>
        <v>Salvador</v>
      </c>
      <c r="K5" s="137">
        <f>VLOOKUP(I5,Venue!$A$4:$E$15,5)</f>
        <v>-3</v>
      </c>
    </row>
    <row r="6" spans="1:11" ht="15.75" customHeight="1">
      <c r="A6" s="141">
        <v>4</v>
      </c>
      <c r="B6" s="141" t="s">
        <v>411</v>
      </c>
      <c r="C6" s="142">
        <v>41803.75</v>
      </c>
      <c r="D6" s="142">
        <f t="shared" si="0"/>
        <v>41804.291666666664</v>
      </c>
      <c r="E6" s="134" t="s">
        <v>75</v>
      </c>
      <c r="F6" s="135" t="str">
        <f>VLOOKUP(E6,Teams!$D$3:$E$34,2)</f>
        <v>CHI</v>
      </c>
      <c r="G6" s="136" t="s">
        <v>66</v>
      </c>
      <c r="H6" s="137" t="str">
        <f>VLOOKUP(G6,Teams!$D$3:$E$34,2)</f>
        <v>AUS</v>
      </c>
      <c r="I6" s="137">
        <v>3</v>
      </c>
      <c r="J6" s="137" t="str">
        <f>VLOOKUP(I6,Venue!$A$4:$E$15,2)</f>
        <v>Cuiaba</v>
      </c>
      <c r="K6" s="137">
        <f>VLOOKUP(I6,Venue!$A$4:$E$15,5)</f>
        <v>-4</v>
      </c>
    </row>
    <row r="7" spans="1:11" ht="15.75" customHeight="1">
      <c r="A7" s="141">
        <v>5</v>
      </c>
      <c r="B7" s="141" t="s">
        <v>412</v>
      </c>
      <c r="C7" s="142">
        <v>41804.541666666664</v>
      </c>
      <c r="D7" s="142">
        <f t="shared" si="0"/>
        <v>41805.041666666664</v>
      </c>
      <c r="E7" s="134" t="s">
        <v>353</v>
      </c>
      <c r="F7" s="135" t="str">
        <f>VLOOKUP(E7,Teams!$D$3:$E$34,2)</f>
        <v>COL</v>
      </c>
      <c r="G7" s="136" t="s">
        <v>61</v>
      </c>
      <c r="H7" s="137" t="str">
        <f>VLOOKUP(G7,Teams!$D$3:$E$34,2)</f>
        <v>GRE</v>
      </c>
      <c r="I7" s="137">
        <v>1</v>
      </c>
      <c r="J7" s="137" t="str">
        <f>VLOOKUP(I7,Venue!$A$4:$E$15,2)</f>
        <v>Belo Horizonte</v>
      </c>
      <c r="K7" s="137">
        <f>VLOOKUP(I7,Venue!$A$4:$E$15,5)</f>
        <v>-3</v>
      </c>
    </row>
    <row r="8" spans="1:11" ht="15.75" customHeight="1">
      <c r="A8" s="141">
        <v>6</v>
      </c>
      <c r="B8" s="141" t="s">
        <v>412</v>
      </c>
      <c r="C8" s="142">
        <v>41804.916666666664</v>
      </c>
      <c r="D8" s="142">
        <f t="shared" si="0"/>
        <v>41805.416666666664</v>
      </c>
      <c r="E8" s="134" t="s">
        <v>408</v>
      </c>
      <c r="F8" s="135" t="str">
        <f>VLOOKUP(E8,Teams!$D$3:$E$34,2)</f>
        <v>CIV</v>
      </c>
      <c r="G8" s="136" t="s">
        <v>69</v>
      </c>
      <c r="H8" s="137" t="str">
        <f>VLOOKUP(G8,Teams!$D$3:$E$34,2)</f>
        <v>JPN</v>
      </c>
      <c r="I8" s="137">
        <v>9</v>
      </c>
      <c r="J8" s="137" t="str">
        <f>VLOOKUP(I8,Venue!$A$4:$E$15,2)</f>
        <v>Recife</v>
      </c>
      <c r="K8" s="137">
        <f>VLOOKUP(I8,Venue!$A$4:$E$15,5)</f>
        <v>-3</v>
      </c>
    </row>
    <row r="9" spans="1:11" ht="15.75" customHeight="1">
      <c r="A9" s="141">
        <v>7</v>
      </c>
      <c r="B9" s="141" t="s">
        <v>413</v>
      </c>
      <c r="C9" s="142">
        <v>41804.666666666664</v>
      </c>
      <c r="D9" s="142">
        <f t="shared" si="0"/>
        <v>41805.166666666664</v>
      </c>
      <c r="E9" s="134" t="s">
        <v>360</v>
      </c>
      <c r="F9" s="135" t="str">
        <f>VLOOKUP(E9,Teams!$D$3:$E$34,2)</f>
        <v>URU</v>
      </c>
      <c r="G9" s="136" t="s">
        <v>334</v>
      </c>
      <c r="H9" s="137" t="str">
        <f>VLOOKUP(G9,Teams!$D$3:$E$34,2)</f>
        <v>CRC</v>
      </c>
      <c r="I9" s="137">
        <v>4</v>
      </c>
      <c r="J9" s="137" t="str">
        <f>VLOOKUP(I9,Venue!$A$4:$E$15,2)</f>
        <v>Curitiba</v>
      </c>
      <c r="K9" s="137">
        <f>VLOOKUP(I9,Venue!$A$4:$E$15,5)</f>
        <v>-3</v>
      </c>
    </row>
    <row r="10" spans="1:11" ht="15.75" customHeight="1">
      <c r="A10" s="141">
        <v>8</v>
      </c>
      <c r="B10" s="141" t="s">
        <v>413</v>
      </c>
      <c r="C10" s="142">
        <v>41804.75</v>
      </c>
      <c r="D10" s="142">
        <f t="shared" si="0"/>
        <v>41805.291666666664</v>
      </c>
      <c r="E10" s="134" t="s">
        <v>62</v>
      </c>
      <c r="F10" s="135" t="str">
        <f>VLOOKUP(E10,Teams!$D$3:$E$34,2)</f>
        <v>ENG</v>
      </c>
      <c r="G10" s="136" t="s">
        <v>71</v>
      </c>
      <c r="H10" s="137" t="str">
        <f>VLOOKUP(G10,Teams!$D$3:$E$34,2)</f>
        <v>ITA</v>
      </c>
      <c r="I10" s="137">
        <v>6</v>
      </c>
      <c r="J10" s="137" t="str">
        <f>VLOOKUP(I10,Venue!$A$4:$E$15,2)</f>
        <v>Manaus</v>
      </c>
      <c r="K10" s="137">
        <f>VLOOKUP(I10,Venue!$A$4:$E$15,5)</f>
        <v>-4</v>
      </c>
    </row>
    <row r="11" spans="1:11" ht="15.75" customHeight="1">
      <c r="A11" s="141">
        <v>9</v>
      </c>
      <c r="B11" s="141" t="s">
        <v>414</v>
      </c>
      <c r="C11" s="142">
        <v>41805.541666666664</v>
      </c>
      <c r="D11" s="142">
        <f t="shared" si="0"/>
        <v>41806.041666666664</v>
      </c>
      <c r="E11" s="134" t="s">
        <v>77</v>
      </c>
      <c r="F11" s="135" t="str">
        <f>VLOOKUP(E11,Teams!$D$3:$E$34,2)</f>
        <v>SUI</v>
      </c>
      <c r="G11" s="136" t="s">
        <v>421</v>
      </c>
      <c r="H11" s="137" t="str">
        <f>VLOOKUP(G11,Teams!$D$3:$E$34,2)</f>
        <v>ECU</v>
      </c>
      <c r="I11" s="137">
        <v>2</v>
      </c>
      <c r="J11" s="137" t="str">
        <f>VLOOKUP(I11,Venue!$A$4:$E$15,2)</f>
        <v>Brasilia</v>
      </c>
      <c r="K11" s="137">
        <f>VLOOKUP(I11,Venue!$A$4:$E$15,5)</f>
        <v>-3</v>
      </c>
    </row>
    <row r="12" spans="1:11" ht="15.75" customHeight="1">
      <c r="A12" s="141">
        <v>10</v>
      </c>
      <c r="B12" s="141" t="s">
        <v>414</v>
      </c>
      <c r="C12" s="142">
        <v>41805.666666666664</v>
      </c>
      <c r="D12" s="142">
        <f t="shared" si="0"/>
        <v>41806.166666666664</v>
      </c>
      <c r="E12" s="134" t="s">
        <v>57</v>
      </c>
      <c r="F12" s="135" t="str">
        <f>VLOOKUP(E12,Teams!$D$3:$E$34,2)</f>
        <v>FRA</v>
      </c>
      <c r="G12" s="136" t="s">
        <v>74</v>
      </c>
      <c r="H12" s="137" t="str">
        <f>VLOOKUP(G12,Teams!$D$3:$E$34,2)</f>
        <v>HON</v>
      </c>
      <c r="I12" s="137">
        <v>8</v>
      </c>
      <c r="J12" s="137" t="str">
        <f>VLOOKUP(I12,Venue!$A$4:$E$15,2)</f>
        <v>Porto Alegre</v>
      </c>
      <c r="K12" s="137">
        <f>VLOOKUP(I12,Venue!$A$4:$E$15,5)</f>
        <v>-3</v>
      </c>
    </row>
    <row r="13" spans="1:11" ht="15.75" customHeight="1">
      <c r="A13" s="141">
        <v>11</v>
      </c>
      <c r="B13" s="141" t="s">
        <v>415</v>
      </c>
      <c r="C13" s="142">
        <v>41805.791666666664</v>
      </c>
      <c r="D13" s="142">
        <f t="shared" si="0"/>
        <v>41806.291666666664</v>
      </c>
      <c r="E13" s="134" t="s">
        <v>58</v>
      </c>
      <c r="F13" s="135" t="str">
        <f>VLOOKUP(E13,Teams!$D$3:$E$34,2)</f>
        <v>ARG</v>
      </c>
      <c r="G13" s="136" t="s">
        <v>409</v>
      </c>
      <c r="H13" s="137" t="str">
        <f>VLOOKUP(G13,Teams!$D$3:$E$34,2)</f>
        <v>BIH</v>
      </c>
      <c r="I13" s="137">
        <v>10</v>
      </c>
      <c r="J13" s="137" t="str">
        <f>VLOOKUP(I13,Venue!$A$4:$E$15,2)</f>
        <v>Rio de Janeiro</v>
      </c>
      <c r="K13" s="137">
        <f>VLOOKUP(I13,Venue!$A$4:$E$15,5)</f>
        <v>-3</v>
      </c>
    </row>
    <row r="14" spans="1:11" ht="15.75" customHeight="1">
      <c r="A14" s="141">
        <v>12</v>
      </c>
      <c r="B14" s="141" t="s">
        <v>415</v>
      </c>
      <c r="C14" s="142">
        <v>41806.666666666664</v>
      </c>
      <c r="D14" s="142">
        <f t="shared" si="0"/>
        <v>41807.166666666664</v>
      </c>
      <c r="E14" s="134" t="s">
        <v>271</v>
      </c>
      <c r="F14" s="135" t="str">
        <f>VLOOKUP(E14,Teams!$D$3:$E$34,2)</f>
        <v>IRN</v>
      </c>
      <c r="G14" s="136" t="s">
        <v>59</v>
      </c>
      <c r="H14" s="137" t="str">
        <f>VLOOKUP(G14,Teams!$D$3:$E$34,2)</f>
        <v>NGA</v>
      </c>
      <c r="I14" s="137">
        <v>4</v>
      </c>
      <c r="J14" s="137" t="str">
        <f>VLOOKUP(I14,Venue!$A$4:$E$15,2)</f>
        <v>Curitiba</v>
      </c>
      <c r="K14" s="137">
        <f>VLOOKUP(I14,Venue!$A$4:$E$15,5)</f>
        <v>-3</v>
      </c>
    </row>
    <row r="15" spans="1:11" ht="15.75" customHeight="1">
      <c r="A15" s="141">
        <v>13</v>
      </c>
      <c r="B15" s="141" t="s">
        <v>416</v>
      </c>
      <c r="C15" s="142">
        <v>41806.541666666664</v>
      </c>
      <c r="D15" s="142">
        <f t="shared" si="0"/>
        <v>41807.041666666664</v>
      </c>
      <c r="E15" s="134" t="s">
        <v>65</v>
      </c>
      <c r="F15" s="135" t="str">
        <f>VLOOKUP(E15,Teams!$D$3:$E$34,2)</f>
        <v>GER</v>
      </c>
      <c r="G15" s="136" t="s">
        <v>425</v>
      </c>
      <c r="H15" s="137" t="str">
        <f>VLOOKUP(G15,Teams!$D$3:$E$34,2)</f>
        <v>POR</v>
      </c>
      <c r="I15" s="137">
        <v>11</v>
      </c>
      <c r="J15" s="137" t="str">
        <f>VLOOKUP(I15,Venue!$A$4:$E$15,2)</f>
        <v>Salvador</v>
      </c>
      <c r="K15" s="137">
        <f>VLOOKUP(I15,Venue!$A$4:$E$15,5)</f>
        <v>-3</v>
      </c>
    </row>
    <row r="16" spans="1:11" ht="15.75" customHeight="1">
      <c r="A16" s="141">
        <v>14</v>
      </c>
      <c r="B16" s="141" t="s">
        <v>416</v>
      </c>
      <c r="C16" s="142">
        <v>41806.75</v>
      </c>
      <c r="D16" s="142">
        <f t="shared" si="0"/>
        <v>41807.25</v>
      </c>
      <c r="E16" s="134" t="s">
        <v>67</v>
      </c>
      <c r="F16" s="135" t="str">
        <f>VLOOKUP(E16,Teams!$D$3:$E$34,2)</f>
        <v>GHA</v>
      </c>
      <c r="G16" s="136" t="s">
        <v>63</v>
      </c>
      <c r="H16" s="137" t="str">
        <f>VLOOKUP(G16,Teams!$D$3:$E$34,2)</f>
        <v>USA</v>
      </c>
      <c r="I16" s="137">
        <v>7</v>
      </c>
      <c r="J16" s="137" t="str">
        <f>VLOOKUP(I16,Venue!$A$4:$E$15,2)</f>
        <v>Natal</v>
      </c>
      <c r="K16" s="137">
        <f>VLOOKUP(I16,Venue!$A$4:$E$15,5)</f>
        <v>-3</v>
      </c>
    </row>
    <row r="17" spans="1:11" ht="15.75" customHeight="1">
      <c r="A17" s="141">
        <v>15</v>
      </c>
      <c r="B17" s="141" t="s">
        <v>417</v>
      </c>
      <c r="C17" s="142">
        <v>41807.541666666664</v>
      </c>
      <c r="D17" s="142">
        <f t="shared" si="0"/>
        <v>41808.041666666664</v>
      </c>
      <c r="E17" s="134" t="s">
        <v>284</v>
      </c>
      <c r="F17" s="135" t="str">
        <f>VLOOKUP(E17,Teams!$D$3:$E$34,2)</f>
        <v>BEL</v>
      </c>
      <c r="G17" s="136" t="s">
        <v>64</v>
      </c>
      <c r="H17" s="137" t="str">
        <f>VLOOKUP(G17,Teams!$D$3:$E$34,2)</f>
        <v>ALG</v>
      </c>
      <c r="I17" s="137">
        <v>1</v>
      </c>
      <c r="J17" s="137" t="str">
        <f>VLOOKUP(I17,Venue!$A$4:$E$15,2)</f>
        <v>Belo Horizonte</v>
      </c>
      <c r="K17" s="137">
        <f>VLOOKUP(I17,Venue!$A$4:$E$15,5)</f>
        <v>-3</v>
      </c>
    </row>
    <row r="18" spans="1:11" ht="15.75" customHeight="1">
      <c r="A18" s="141">
        <v>16</v>
      </c>
      <c r="B18" s="141" t="s">
        <v>417</v>
      </c>
      <c r="C18" s="142">
        <v>41807.75</v>
      </c>
      <c r="D18" s="142">
        <f t="shared" si="0"/>
        <v>41808.291666666664</v>
      </c>
      <c r="E18" s="134" t="s">
        <v>323</v>
      </c>
      <c r="F18" s="135" t="str">
        <f>VLOOKUP(E18,Teams!$D$3:$E$34,2)</f>
        <v>RUS</v>
      </c>
      <c r="G18" s="136" t="s">
        <v>60</v>
      </c>
      <c r="H18" s="137" t="str">
        <f>VLOOKUP(G18,Teams!$D$3:$E$34,2)</f>
        <v>KOR</v>
      </c>
      <c r="I18" s="137">
        <v>3</v>
      </c>
      <c r="J18" s="137" t="str">
        <f>VLOOKUP(I18,Venue!$A$4:$E$15,2)</f>
        <v>Cuiaba</v>
      </c>
      <c r="K18" s="137">
        <f>VLOOKUP(I18,Venue!$A$4:$E$15,5)</f>
        <v>-4</v>
      </c>
    </row>
    <row r="19" spans="1:11" ht="15.75" customHeight="1">
      <c r="A19" s="141">
        <v>17</v>
      </c>
      <c r="B19" s="141" t="s">
        <v>410</v>
      </c>
      <c r="C19" s="142">
        <v>41807.666666666664</v>
      </c>
      <c r="D19" s="142">
        <f t="shared" si="0"/>
        <v>41808.166666666664</v>
      </c>
      <c r="E19" s="134" t="s">
        <v>73</v>
      </c>
      <c r="F19" s="135" t="str">
        <f>VLOOKUP(E19,Teams!$D$3:$E$34,2)</f>
        <v>BRA</v>
      </c>
      <c r="G19" s="136" t="s">
        <v>56</v>
      </c>
      <c r="H19" s="137" t="str">
        <f>VLOOKUP(G19,Teams!$D$3:$E$34,2)</f>
        <v>MEX</v>
      </c>
      <c r="I19" s="137">
        <v>5</v>
      </c>
      <c r="J19" s="137" t="str">
        <f>VLOOKUP(I19,Venue!$A$4:$E$15,2)</f>
        <v>Fortaleza</v>
      </c>
      <c r="K19" s="137">
        <f>VLOOKUP(I19,Venue!$A$4:$E$15,5)</f>
        <v>-3</v>
      </c>
    </row>
    <row r="20" spans="1:11" ht="15.75" customHeight="1">
      <c r="A20" s="141">
        <v>18</v>
      </c>
      <c r="B20" s="141" t="s">
        <v>410</v>
      </c>
      <c r="C20" s="142">
        <v>41808.75</v>
      </c>
      <c r="D20" s="142">
        <f t="shared" si="0"/>
        <v>41809.291666666664</v>
      </c>
      <c r="E20" s="134" t="s">
        <v>422</v>
      </c>
      <c r="F20" s="135" t="str">
        <f>VLOOKUP(E20,Teams!$D$3:$E$34,2)</f>
        <v>CMR</v>
      </c>
      <c r="G20" s="136" t="s">
        <v>292</v>
      </c>
      <c r="H20" s="137" t="str">
        <f>VLOOKUP(G20,Teams!$D$3:$E$34,2)</f>
        <v>CRO</v>
      </c>
      <c r="I20" s="137">
        <v>6</v>
      </c>
      <c r="J20" s="137" t="str">
        <f>VLOOKUP(I20,Venue!$A$4:$E$15,2)</f>
        <v>Manaus</v>
      </c>
      <c r="K20" s="137">
        <f>VLOOKUP(I20,Venue!$A$4:$E$15,5)</f>
        <v>-4</v>
      </c>
    </row>
    <row r="21" spans="1:11" ht="15.75" customHeight="1">
      <c r="A21" s="141">
        <v>19</v>
      </c>
      <c r="B21" s="141" t="s">
        <v>411</v>
      </c>
      <c r="C21" s="142">
        <v>41808.666666666664</v>
      </c>
      <c r="D21" s="142">
        <f t="shared" si="0"/>
        <v>41809.166666666664</v>
      </c>
      <c r="E21" s="134" t="s">
        <v>426</v>
      </c>
      <c r="F21" s="135" t="str">
        <f>VLOOKUP(E21,Teams!$D$3:$E$34,2)</f>
        <v>ESP</v>
      </c>
      <c r="G21" s="136" t="s">
        <v>75</v>
      </c>
      <c r="H21" s="137" t="str">
        <f>VLOOKUP(G21,Teams!$D$3:$E$34,2)</f>
        <v>CHI</v>
      </c>
      <c r="I21" s="137">
        <v>10</v>
      </c>
      <c r="J21" s="137" t="str">
        <f>VLOOKUP(I21,Venue!$A$4:$E$15,2)</f>
        <v>Rio de Janeiro</v>
      </c>
      <c r="K21" s="137">
        <f>VLOOKUP(I21,Venue!$A$4:$E$15,5)</f>
        <v>-3</v>
      </c>
    </row>
    <row r="22" spans="1:11" ht="15.75" customHeight="1">
      <c r="A22" s="141">
        <v>20</v>
      </c>
      <c r="B22" s="141" t="s">
        <v>411</v>
      </c>
      <c r="C22" s="142">
        <v>41808.541666666664</v>
      </c>
      <c r="D22" s="142">
        <f t="shared" si="0"/>
        <v>41809.041666666664</v>
      </c>
      <c r="E22" s="134" t="s">
        <v>66</v>
      </c>
      <c r="F22" s="135" t="str">
        <f>VLOOKUP(E22,Teams!$D$3:$E$34,2)</f>
        <v>AUS</v>
      </c>
      <c r="G22" s="136" t="s">
        <v>68</v>
      </c>
      <c r="H22" s="137" t="str">
        <f>VLOOKUP(G22,Teams!$D$3:$E$34,2)</f>
        <v>NED</v>
      </c>
      <c r="I22" s="137">
        <v>8</v>
      </c>
      <c r="J22" s="137" t="str">
        <f>VLOOKUP(I22,Venue!$A$4:$E$15,2)</f>
        <v>Porto Alegre</v>
      </c>
      <c r="K22" s="137">
        <f>VLOOKUP(I22,Venue!$A$4:$E$15,5)</f>
        <v>-3</v>
      </c>
    </row>
    <row r="23" spans="1:11" ht="15.75" customHeight="1">
      <c r="A23" s="141">
        <v>21</v>
      </c>
      <c r="B23" s="141" t="s">
        <v>412</v>
      </c>
      <c r="C23" s="142">
        <v>41809.541666666664</v>
      </c>
      <c r="D23" s="142">
        <f t="shared" si="0"/>
        <v>41810.041666666664</v>
      </c>
      <c r="E23" s="134" t="s">
        <v>353</v>
      </c>
      <c r="F23" s="135" t="str">
        <f>VLOOKUP(E23,Teams!$D$3:$E$34,2)</f>
        <v>COL</v>
      </c>
      <c r="G23" s="136" t="s">
        <v>408</v>
      </c>
      <c r="H23" s="137" t="str">
        <f>VLOOKUP(G23,Teams!$D$3:$E$34,2)</f>
        <v>CIV</v>
      </c>
      <c r="I23" s="137">
        <v>2</v>
      </c>
      <c r="J23" s="137" t="str">
        <f>VLOOKUP(I23,Venue!$A$4:$E$15,2)</f>
        <v>Brasilia</v>
      </c>
      <c r="K23" s="137">
        <f>VLOOKUP(I23,Venue!$A$4:$E$15,5)</f>
        <v>-3</v>
      </c>
    </row>
    <row r="24" spans="1:11" ht="15.75" customHeight="1">
      <c r="A24" s="141">
        <v>22</v>
      </c>
      <c r="B24" s="141" t="s">
        <v>412</v>
      </c>
      <c r="C24" s="142">
        <v>41809.791666666664</v>
      </c>
      <c r="D24" s="142">
        <f t="shared" si="0"/>
        <v>41810.291666666664</v>
      </c>
      <c r="E24" s="134" t="s">
        <v>69</v>
      </c>
      <c r="F24" s="135" t="str">
        <f>VLOOKUP(E24,Teams!$D$3:$E$34,2)</f>
        <v>JPN</v>
      </c>
      <c r="G24" s="136" t="s">
        <v>61</v>
      </c>
      <c r="H24" s="137" t="str">
        <f>VLOOKUP(G24,Teams!$D$3:$E$34,2)</f>
        <v>GRE</v>
      </c>
      <c r="I24" s="137">
        <v>7</v>
      </c>
      <c r="J24" s="137" t="str">
        <f>VLOOKUP(I24,Venue!$A$4:$E$15,2)</f>
        <v>Natal</v>
      </c>
      <c r="K24" s="137">
        <f>VLOOKUP(I24,Venue!$A$4:$E$15,5)</f>
        <v>-3</v>
      </c>
    </row>
    <row r="25" spans="1:11" ht="15.75" customHeight="1">
      <c r="A25" s="141">
        <v>23</v>
      </c>
      <c r="B25" s="141" t="s">
        <v>413</v>
      </c>
      <c r="C25" s="142">
        <v>41809.666666666664</v>
      </c>
      <c r="D25" s="142">
        <f t="shared" si="0"/>
        <v>41810.166666666664</v>
      </c>
      <c r="E25" s="134" t="s">
        <v>360</v>
      </c>
      <c r="F25" s="135" t="str">
        <f>VLOOKUP(E25,Teams!$D$3:$E$34,2)</f>
        <v>URU</v>
      </c>
      <c r="G25" s="136" t="s">
        <v>62</v>
      </c>
      <c r="H25" s="137" t="str">
        <f>VLOOKUP(G25,Teams!$D$3:$E$34,2)</f>
        <v>ENG</v>
      </c>
      <c r="I25" s="137">
        <v>12</v>
      </c>
      <c r="J25" s="137" t="str">
        <f>VLOOKUP(I25,Venue!$A$4:$E$15,2)</f>
        <v>Sao Paulo</v>
      </c>
      <c r="K25" s="137">
        <f>VLOOKUP(I25,Venue!$A$4:$E$15,5)</f>
        <v>-3</v>
      </c>
    </row>
    <row r="26" spans="1:11" ht="15.75" customHeight="1">
      <c r="A26" s="141">
        <v>24</v>
      </c>
      <c r="B26" s="141" t="s">
        <v>413</v>
      </c>
      <c r="C26" s="142">
        <v>41810.541666666664</v>
      </c>
      <c r="D26" s="142">
        <f t="shared" si="0"/>
        <v>41811.041666666664</v>
      </c>
      <c r="E26" s="134" t="s">
        <v>71</v>
      </c>
      <c r="F26" s="135" t="str">
        <f>VLOOKUP(E26,Teams!$D$3:$E$34,2)</f>
        <v>ITA</v>
      </c>
      <c r="G26" s="136" t="s">
        <v>334</v>
      </c>
      <c r="H26" s="137" t="str">
        <f>VLOOKUP(G26,Teams!$D$3:$E$34,2)</f>
        <v>CRC</v>
      </c>
      <c r="I26" s="137">
        <v>9</v>
      </c>
      <c r="J26" s="137" t="str">
        <f>VLOOKUP(I26,Venue!$A$4:$E$15,2)</f>
        <v>Recife</v>
      </c>
      <c r="K26" s="137">
        <f>VLOOKUP(I26,Venue!$A$4:$E$15,5)</f>
        <v>-3</v>
      </c>
    </row>
    <row r="27" spans="1:11" ht="15.75" customHeight="1">
      <c r="A27" s="141">
        <v>25</v>
      </c>
      <c r="B27" s="141" t="s">
        <v>414</v>
      </c>
      <c r="C27" s="142">
        <v>41810.666666666664</v>
      </c>
      <c r="D27" s="142">
        <f t="shared" si="0"/>
        <v>41811.166666666664</v>
      </c>
      <c r="E27" s="134" t="s">
        <v>77</v>
      </c>
      <c r="F27" s="135" t="str">
        <f>VLOOKUP(E27,Teams!$D$3:$E$34,2)</f>
        <v>SUI</v>
      </c>
      <c r="G27" s="136" t="s">
        <v>57</v>
      </c>
      <c r="H27" s="137" t="str">
        <f>VLOOKUP(G27,Teams!$D$3:$E$34,2)</f>
        <v>FRA</v>
      </c>
      <c r="I27" s="137">
        <v>11</v>
      </c>
      <c r="J27" s="137" t="str">
        <f>VLOOKUP(I27,Venue!$A$4:$E$15,2)</f>
        <v>Salvador</v>
      </c>
      <c r="K27" s="137">
        <f>VLOOKUP(I27,Venue!$A$4:$E$15,5)</f>
        <v>-3</v>
      </c>
    </row>
    <row r="28" spans="1:11" ht="15.75" customHeight="1">
      <c r="A28" s="141">
        <v>26</v>
      </c>
      <c r="B28" s="141" t="s">
        <v>414</v>
      </c>
      <c r="C28" s="142">
        <v>41810.791666666664</v>
      </c>
      <c r="D28" s="142">
        <f t="shared" si="0"/>
        <v>41811.291666666664</v>
      </c>
      <c r="E28" s="134" t="s">
        <v>74</v>
      </c>
      <c r="F28" s="135" t="str">
        <f>VLOOKUP(E28,Teams!$D$3:$E$34,2)</f>
        <v>HON</v>
      </c>
      <c r="G28" s="136" t="s">
        <v>421</v>
      </c>
      <c r="H28" s="137" t="str">
        <f>VLOOKUP(G28,Teams!$D$3:$E$34,2)</f>
        <v>ECU</v>
      </c>
      <c r="I28" s="137">
        <v>4</v>
      </c>
      <c r="J28" s="137" t="str">
        <f>VLOOKUP(I28,Venue!$A$4:$E$15,2)</f>
        <v>Curitiba</v>
      </c>
      <c r="K28" s="137">
        <f>VLOOKUP(I28,Venue!$A$4:$E$15,5)</f>
        <v>-3</v>
      </c>
    </row>
    <row r="29" spans="1:11" ht="15.75" customHeight="1">
      <c r="A29" s="141">
        <v>27</v>
      </c>
      <c r="B29" s="141" t="s">
        <v>415</v>
      </c>
      <c r="C29" s="142">
        <v>41811.541666666664</v>
      </c>
      <c r="D29" s="142">
        <f t="shared" si="0"/>
        <v>41812.041666666664</v>
      </c>
      <c r="E29" s="134" t="s">
        <v>58</v>
      </c>
      <c r="F29" s="135" t="str">
        <f>VLOOKUP(E29,Teams!$D$3:$E$34,2)</f>
        <v>ARG</v>
      </c>
      <c r="G29" s="136" t="s">
        <v>271</v>
      </c>
      <c r="H29" s="137" t="str">
        <f>VLOOKUP(G29,Teams!$D$3:$E$34,2)</f>
        <v>IRN</v>
      </c>
      <c r="I29" s="137">
        <v>1</v>
      </c>
      <c r="J29" s="137" t="str">
        <f>VLOOKUP(I29,Venue!$A$4:$E$15,2)</f>
        <v>Belo Horizonte</v>
      </c>
      <c r="K29" s="137">
        <f>VLOOKUP(I29,Venue!$A$4:$E$15,5)</f>
        <v>-3</v>
      </c>
    </row>
    <row r="30" spans="1:11" ht="15.75" customHeight="1">
      <c r="A30" s="141">
        <v>28</v>
      </c>
      <c r="B30" s="141" t="s">
        <v>415</v>
      </c>
      <c r="C30" s="142">
        <v>41811.75</v>
      </c>
      <c r="D30" s="142">
        <f t="shared" si="0"/>
        <v>41812.291666666664</v>
      </c>
      <c r="E30" s="134" t="s">
        <v>59</v>
      </c>
      <c r="F30" s="135" t="str">
        <f>VLOOKUP(E30,Teams!$D$3:$E$34,2)</f>
        <v>NGA</v>
      </c>
      <c r="G30" s="136" t="s">
        <v>409</v>
      </c>
      <c r="H30" s="137" t="str">
        <f>VLOOKUP(G30,Teams!$D$3:$E$34,2)</f>
        <v>BIH</v>
      </c>
      <c r="I30" s="137">
        <v>3</v>
      </c>
      <c r="J30" s="137" t="str">
        <f>VLOOKUP(I30,Venue!$A$4:$E$15,2)</f>
        <v>Cuiaba</v>
      </c>
      <c r="K30" s="137">
        <f>VLOOKUP(I30,Venue!$A$4:$E$15,5)</f>
        <v>-4</v>
      </c>
    </row>
    <row r="31" spans="1:11" ht="15.75" customHeight="1">
      <c r="A31" s="141">
        <v>29</v>
      </c>
      <c r="B31" s="141" t="s">
        <v>416</v>
      </c>
      <c r="C31" s="142">
        <v>41811.666666666664</v>
      </c>
      <c r="D31" s="142">
        <f t="shared" si="0"/>
        <v>41812.166666666664</v>
      </c>
      <c r="E31" s="134" t="s">
        <v>65</v>
      </c>
      <c r="F31" s="135" t="str">
        <f>VLOOKUP(E31,Teams!$D$3:$E$34,2)</f>
        <v>GER</v>
      </c>
      <c r="G31" s="136" t="s">
        <v>67</v>
      </c>
      <c r="H31" s="137" t="str">
        <f>VLOOKUP(G31,Teams!$D$3:$E$34,2)</f>
        <v>GHA</v>
      </c>
      <c r="I31" s="137">
        <v>5</v>
      </c>
      <c r="J31" s="137" t="str">
        <f>VLOOKUP(I31,Venue!$A$4:$E$15,2)</f>
        <v>Fortaleza</v>
      </c>
      <c r="K31" s="137">
        <f>VLOOKUP(I31,Venue!$A$4:$E$15,5)</f>
        <v>-3</v>
      </c>
    </row>
    <row r="32" spans="1:11" ht="15.75" customHeight="1">
      <c r="A32" s="141">
        <v>30</v>
      </c>
      <c r="B32" s="141" t="s">
        <v>416</v>
      </c>
      <c r="C32" s="142">
        <v>41812.75</v>
      </c>
      <c r="D32" s="142">
        <f t="shared" si="0"/>
        <v>41813.291666666664</v>
      </c>
      <c r="E32" s="134" t="s">
        <v>63</v>
      </c>
      <c r="F32" s="135" t="str">
        <f>VLOOKUP(E32,Teams!$D$3:$E$34,2)</f>
        <v>USA</v>
      </c>
      <c r="G32" s="136" t="s">
        <v>72</v>
      </c>
      <c r="H32" s="137" t="str">
        <f>VLOOKUP(G32,Teams!$D$3:$E$34,2)</f>
        <v>POR</v>
      </c>
      <c r="I32" s="137">
        <v>6</v>
      </c>
      <c r="J32" s="137" t="str">
        <f>VLOOKUP(I32,Venue!$A$4:$E$15,2)</f>
        <v>Manaus</v>
      </c>
      <c r="K32" s="137">
        <f>VLOOKUP(I32,Venue!$A$4:$E$15,5)</f>
        <v>-4</v>
      </c>
    </row>
    <row r="33" spans="1:11" ht="15.75" customHeight="1">
      <c r="A33" s="141">
        <v>31</v>
      </c>
      <c r="B33" s="141" t="s">
        <v>417</v>
      </c>
      <c r="C33" s="142">
        <v>41812.541666666664</v>
      </c>
      <c r="D33" s="142">
        <f t="shared" si="0"/>
        <v>41813.041666666664</v>
      </c>
      <c r="E33" s="134" t="s">
        <v>284</v>
      </c>
      <c r="F33" s="135" t="str">
        <f>VLOOKUP(E33,Teams!$D$3:$E$34,2)</f>
        <v>BEL</v>
      </c>
      <c r="G33" s="136" t="s">
        <v>323</v>
      </c>
      <c r="H33" s="137" t="str">
        <f>VLOOKUP(G33,Teams!$D$3:$E$34,2)</f>
        <v>RUS</v>
      </c>
      <c r="I33" s="137">
        <v>10</v>
      </c>
      <c r="J33" s="137" t="str">
        <f>VLOOKUP(I33,Venue!$A$4:$E$15,2)</f>
        <v>Rio de Janeiro</v>
      </c>
      <c r="K33" s="137">
        <f>VLOOKUP(I33,Venue!$A$4:$E$15,5)</f>
        <v>-3</v>
      </c>
    </row>
    <row r="34" spans="1:11" ht="15.75" customHeight="1">
      <c r="A34" s="141">
        <v>32</v>
      </c>
      <c r="B34" s="141" t="s">
        <v>417</v>
      </c>
      <c r="C34" s="142">
        <v>41812.666666666664</v>
      </c>
      <c r="D34" s="142">
        <f t="shared" si="0"/>
        <v>41813.166666666664</v>
      </c>
      <c r="E34" s="134" t="s">
        <v>60</v>
      </c>
      <c r="F34" s="135" t="str">
        <f>VLOOKUP(E34,Teams!$D$3:$E$34,2)</f>
        <v>KOR</v>
      </c>
      <c r="G34" s="136" t="s">
        <v>64</v>
      </c>
      <c r="H34" s="137" t="str">
        <f>VLOOKUP(G34,Teams!$D$3:$E$34,2)</f>
        <v>ALG</v>
      </c>
      <c r="I34" s="137">
        <v>8</v>
      </c>
      <c r="J34" s="137" t="str">
        <f>VLOOKUP(I34,Venue!$A$4:$E$15,2)</f>
        <v>Porto Alegre</v>
      </c>
      <c r="K34" s="137">
        <f>VLOOKUP(I34,Venue!$A$4:$E$15,5)</f>
        <v>-3</v>
      </c>
    </row>
    <row r="35" spans="1:11" ht="15.75" customHeight="1">
      <c r="A35" s="141">
        <v>33</v>
      </c>
      <c r="B35" s="141" t="s">
        <v>410</v>
      </c>
      <c r="C35" s="142">
        <v>41813.708333333336</v>
      </c>
      <c r="D35" s="142">
        <f t="shared" si="0"/>
        <v>41814.208333333336</v>
      </c>
      <c r="E35" s="134" t="s">
        <v>423</v>
      </c>
      <c r="F35" s="135" t="str">
        <f>VLOOKUP(E35,Teams!$D$3:$E$34,2)</f>
        <v>CMR</v>
      </c>
      <c r="G35" s="136" t="s">
        <v>73</v>
      </c>
      <c r="H35" s="137" t="str">
        <f>VLOOKUP(G35,Teams!$D$3:$E$34,2)</f>
        <v>BRA</v>
      </c>
      <c r="I35" s="137">
        <v>2</v>
      </c>
      <c r="J35" s="137" t="str">
        <f>VLOOKUP(I35,Venue!$A$4:$E$15,2)</f>
        <v>Brasilia</v>
      </c>
      <c r="K35" s="137">
        <f>VLOOKUP(I35,Venue!$A$4:$E$15,5)</f>
        <v>-3</v>
      </c>
    </row>
    <row r="36" spans="1:11" ht="15.75" customHeight="1">
      <c r="A36" s="141">
        <v>34</v>
      </c>
      <c r="B36" s="141" t="s">
        <v>410</v>
      </c>
      <c r="C36" s="142">
        <v>41813.708333333336</v>
      </c>
      <c r="D36" s="142">
        <f t="shared" si="0"/>
        <v>41814.208333333336</v>
      </c>
      <c r="E36" s="134" t="s">
        <v>292</v>
      </c>
      <c r="F36" s="135" t="str">
        <f>VLOOKUP(E36,Teams!$D$3:$E$34,2)</f>
        <v>CRO</v>
      </c>
      <c r="G36" s="136" t="s">
        <v>56</v>
      </c>
      <c r="H36" s="137" t="str">
        <f>VLOOKUP(G36,Teams!$D$3:$E$34,2)</f>
        <v>MEX</v>
      </c>
      <c r="I36" s="137">
        <v>9</v>
      </c>
      <c r="J36" s="137" t="str">
        <f>VLOOKUP(I36,Venue!$A$4:$E$15,2)</f>
        <v>Recife</v>
      </c>
      <c r="K36" s="137">
        <f>VLOOKUP(I36,Venue!$A$4:$E$15,5)</f>
        <v>-3</v>
      </c>
    </row>
    <row r="37" spans="1:11" ht="15.75" customHeight="1">
      <c r="A37" s="141">
        <v>35</v>
      </c>
      <c r="B37" s="141" t="s">
        <v>411</v>
      </c>
      <c r="C37" s="142">
        <v>41813.541666666664</v>
      </c>
      <c r="D37" s="142">
        <f t="shared" si="0"/>
        <v>41814.041666666664</v>
      </c>
      <c r="E37" s="134" t="s">
        <v>66</v>
      </c>
      <c r="F37" s="135" t="str">
        <f>VLOOKUP(E37,Teams!$D$3:$E$34,2)</f>
        <v>AUS</v>
      </c>
      <c r="G37" s="136" t="s">
        <v>427</v>
      </c>
      <c r="H37" s="137" t="str">
        <f>VLOOKUP(G37,Teams!$D$3:$E$34,2)</f>
        <v>ESP</v>
      </c>
      <c r="I37" s="137">
        <v>4</v>
      </c>
      <c r="J37" s="137" t="str">
        <f>VLOOKUP(I37,Venue!$A$4:$E$15,2)</f>
        <v>Curitiba</v>
      </c>
      <c r="K37" s="137">
        <f>VLOOKUP(I37,Venue!$A$4:$E$15,5)</f>
        <v>-3</v>
      </c>
    </row>
    <row r="38" spans="1:11" ht="15.75" customHeight="1">
      <c r="A38" s="141">
        <v>36</v>
      </c>
      <c r="B38" s="141" t="s">
        <v>411</v>
      </c>
      <c r="C38" s="142">
        <v>41813.541666666664</v>
      </c>
      <c r="D38" s="142">
        <f t="shared" si="0"/>
        <v>41814.041666666664</v>
      </c>
      <c r="E38" s="134" t="s">
        <v>68</v>
      </c>
      <c r="F38" s="135" t="str">
        <f>VLOOKUP(E38,Teams!$D$3:$E$34,2)</f>
        <v>NED</v>
      </c>
      <c r="G38" s="136" t="s">
        <v>75</v>
      </c>
      <c r="H38" s="137" t="str">
        <f>VLOOKUP(G38,Teams!$D$3:$E$34,2)</f>
        <v>CHI</v>
      </c>
      <c r="I38" s="137">
        <v>12</v>
      </c>
      <c r="J38" s="137" t="str">
        <f>VLOOKUP(I38,Venue!$A$4:$E$15,2)</f>
        <v>Sao Paulo</v>
      </c>
      <c r="K38" s="137">
        <f>VLOOKUP(I38,Venue!$A$4:$E$15,5)</f>
        <v>-3</v>
      </c>
    </row>
    <row r="39" spans="1:11" ht="15.75" customHeight="1">
      <c r="A39" s="141">
        <v>37</v>
      </c>
      <c r="B39" s="141" t="s">
        <v>412</v>
      </c>
      <c r="C39" s="142">
        <v>41814.666666666664</v>
      </c>
      <c r="D39" s="142">
        <f t="shared" si="0"/>
        <v>41815.20833333333</v>
      </c>
      <c r="E39" s="134" t="s">
        <v>69</v>
      </c>
      <c r="F39" s="135" t="str">
        <f>VLOOKUP(E39,Teams!$D$3:$E$34,2)</f>
        <v>JPN</v>
      </c>
      <c r="G39" s="136" t="s">
        <v>353</v>
      </c>
      <c r="H39" s="137" t="str">
        <f>VLOOKUP(G39,Teams!$D$3:$E$34,2)</f>
        <v>COL</v>
      </c>
      <c r="I39" s="137">
        <v>3</v>
      </c>
      <c r="J39" s="137" t="str">
        <f>VLOOKUP(I39,Venue!$A$4:$E$15,2)</f>
        <v>Cuiaba</v>
      </c>
      <c r="K39" s="137">
        <f>VLOOKUP(I39,Venue!$A$4:$E$15,5)</f>
        <v>-4</v>
      </c>
    </row>
    <row r="40" spans="1:11" ht="15.75" customHeight="1">
      <c r="A40" s="141">
        <v>38</v>
      </c>
      <c r="B40" s="141" t="s">
        <v>412</v>
      </c>
      <c r="C40" s="142">
        <v>41814.708333333336</v>
      </c>
      <c r="D40" s="142">
        <f t="shared" si="0"/>
        <v>41815.208333333336</v>
      </c>
      <c r="E40" s="134" t="s">
        <v>61</v>
      </c>
      <c r="F40" s="135" t="str">
        <f>VLOOKUP(E40,Teams!$D$3:$E$34,2)</f>
        <v>GRE</v>
      </c>
      <c r="G40" s="136" t="s">
        <v>408</v>
      </c>
      <c r="H40" s="137" t="str">
        <f>VLOOKUP(G40,Teams!$D$3:$E$34,2)</f>
        <v>CIV</v>
      </c>
      <c r="I40" s="137">
        <v>5</v>
      </c>
      <c r="J40" s="137" t="str">
        <f>VLOOKUP(I40,Venue!$A$4:$E$15,2)</f>
        <v>Fortaleza</v>
      </c>
      <c r="K40" s="137">
        <f>VLOOKUP(I40,Venue!$A$4:$E$15,5)</f>
        <v>-3</v>
      </c>
    </row>
    <row r="41" spans="1:11" ht="15.75" customHeight="1">
      <c r="A41" s="141">
        <v>39</v>
      </c>
      <c r="B41" s="141" t="s">
        <v>413</v>
      </c>
      <c r="C41" s="142">
        <v>41814.541666666664</v>
      </c>
      <c r="D41" s="142">
        <f t="shared" si="0"/>
        <v>41815.041666666664</v>
      </c>
      <c r="E41" s="134" t="s">
        <v>71</v>
      </c>
      <c r="F41" s="135" t="str">
        <f>VLOOKUP(E41,Teams!$D$3:$E$34,2)</f>
        <v>ITA</v>
      </c>
      <c r="G41" s="136" t="s">
        <v>360</v>
      </c>
      <c r="H41" s="137" t="str">
        <f>VLOOKUP(G41,Teams!$D$3:$E$34,2)</f>
        <v>URU</v>
      </c>
      <c r="I41" s="137">
        <v>7</v>
      </c>
      <c r="J41" s="137" t="str">
        <f>VLOOKUP(I41,Venue!$A$4:$E$15,2)</f>
        <v>Natal</v>
      </c>
      <c r="K41" s="137">
        <f>VLOOKUP(I41,Venue!$A$4:$E$15,5)</f>
        <v>-3</v>
      </c>
    </row>
    <row r="42" spans="1:11" ht="15.75" customHeight="1">
      <c r="A42" s="141">
        <v>40</v>
      </c>
      <c r="B42" s="141" t="s">
        <v>413</v>
      </c>
      <c r="C42" s="142">
        <v>41814.541666666664</v>
      </c>
      <c r="D42" s="142">
        <f t="shared" si="0"/>
        <v>41815.041666666664</v>
      </c>
      <c r="E42" s="134" t="s">
        <v>334</v>
      </c>
      <c r="F42" s="135" t="str">
        <f>VLOOKUP(E42,Teams!$D$3:$E$34,2)</f>
        <v>CRC</v>
      </c>
      <c r="G42" s="136" t="s">
        <v>62</v>
      </c>
      <c r="H42" s="137" t="str">
        <f>VLOOKUP(G42,Teams!$D$3:$E$34,2)</f>
        <v>ENG</v>
      </c>
      <c r="I42" s="137">
        <v>1</v>
      </c>
      <c r="J42" s="137" t="str">
        <f>VLOOKUP(I42,Venue!$A$4:$E$15,2)</f>
        <v>Belo Horizonte</v>
      </c>
      <c r="K42" s="137">
        <f>VLOOKUP(I42,Venue!$A$4:$E$15,5)</f>
        <v>-3</v>
      </c>
    </row>
    <row r="43" spans="1:11" ht="15.75" customHeight="1">
      <c r="A43" s="141">
        <v>41</v>
      </c>
      <c r="B43" s="141" t="s">
        <v>414</v>
      </c>
      <c r="C43" s="142">
        <v>41815.666666666664</v>
      </c>
      <c r="D43" s="142">
        <f t="shared" si="0"/>
        <v>41816.20833333333</v>
      </c>
      <c r="E43" s="134" t="s">
        <v>74</v>
      </c>
      <c r="F43" s="135" t="str">
        <f>VLOOKUP(E43,Teams!$D$3:$E$34,2)</f>
        <v>HON</v>
      </c>
      <c r="G43" s="136" t="s">
        <v>77</v>
      </c>
      <c r="H43" s="137" t="str">
        <f>VLOOKUP(G43,Teams!$D$3:$E$34,2)</f>
        <v>SUI</v>
      </c>
      <c r="I43" s="137">
        <v>6</v>
      </c>
      <c r="J43" s="137" t="str">
        <f>VLOOKUP(I43,Venue!$A$4:$E$15,2)</f>
        <v>Manaus</v>
      </c>
      <c r="K43" s="137">
        <f>VLOOKUP(I43,Venue!$A$4:$E$15,5)</f>
        <v>-4</v>
      </c>
    </row>
    <row r="44" spans="1:11" ht="15.75" customHeight="1">
      <c r="A44" s="141">
        <v>42</v>
      </c>
      <c r="B44" s="141" t="s">
        <v>414</v>
      </c>
      <c r="C44" s="142">
        <v>41815.708333333336</v>
      </c>
      <c r="D44" s="142">
        <f t="shared" si="0"/>
        <v>41816.208333333336</v>
      </c>
      <c r="E44" s="134" t="s">
        <v>421</v>
      </c>
      <c r="F44" s="135" t="str">
        <f>VLOOKUP(E44,Teams!$D$3:$E$34,2)</f>
        <v>ECU</v>
      </c>
      <c r="G44" s="136" t="s">
        <v>57</v>
      </c>
      <c r="H44" s="137" t="str">
        <f>VLOOKUP(G44,Teams!$D$3:$E$34,2)</f>
        <v>FRA</v>
      </c>
      <c r="I44" s="137">
        <v>10</v>
      </c>
      <c r="J44" s="137" t="str">
        <f>VLOOKUP(I44,Venue!$A$4:$E$15,2)</f>
        <v>Rio de Janeiro</v>
      </c>
      <c r="K44" s="137">
        <f>VLOOKUP(I44,Venue!$A$4:$E$15,5)</f>
        <v>-3</v>
      </c>
    </row>
    <row r="45" spans="1:11" ht="15.75" customHeight="1">
      <c r="A45" s="141">
        <v>43</v>
      </c>
      <c r="B45" s="141" t="s">
        <v>415</v>
      </c>
      <c r="C45" s="142">
        <v>41815.541666666664</v>
      </c>
      <c r="D45" s="142">
        <f t="shared" si="0"/>
        <v>41816.041666666664</v>
      </c>
      <c r="E45" s="134" t="s">
        <v>59</v>
      </c>
      <c r="F45" s="135" t="str">
        <f>VLOOKUP(E45,Teams!$D$3:$E$34,2)</f>
        <v>NGA</v>
      </c>
      <c r="G45" s="136" t="s">
        <v>58</v>
      </c>
      <c r="H45" s="137" t="str">
        <f>VLOOKUP(G45,Teams!$D$3:$E$34,2)</f>
        <v>ARG</v>
      </c>
      <c r="I45" s="137">
        <v>8</v>
      </c>
      <c r="J45" s="137" t="str">
        <f>VLOOKUP(I45,Venue!$A$4:$E$15,2)</f>
        <v>Porto Alegre</v>
      </c>
      <c r="K45" s="137">
        <f>VLOOKUP(I45,Venue!$A$4:$E$15,5)</f>
        <v>-3</v>
      </c>
    </row>
    <row r="46" spans="1:11" ht="15.75" customHeight="1">
      <c r="A46" s="141">
        <v>44</v>
      </c>
      <c r="B46" s="141" t="s">
        <v>415</v>
      </c>
      <c r="C46" s="142">
        <v>41815.541666666664</v>
      </c>
      <c r="D46" s="142">
        <f t="shared" si="0"/>
        <v>41816.041666666664</v>
      </c>
      <c r="E46" s="134" t="s">
        <v>409</v>
      </c>
      <c r="F46" s="135" t="str">
        <f>VLOOKUP(E46,Teams!$D$3:$E$34,2)</f>
        <v>BIH</v>
      </c>
      <c r="G46" s="136" t="s">
        <v>271</v>
      </c>
      <c r="H46" s="137" t="str">
        <f>VLOOKUP(G46,Teams!$D$3:$E$34,2)</f>
        <v>IRN</v>
      </c>
      <c r="I46" s="137">
        <v>11</v>
      </c>
      <c r="J46" s="137" t="str">
        <f>VLOOKUP(I46,Venue!$A$4:$E$15,2)</f>
        <v>Salvador</v>
      </c>
      <c r="K46" s="137">
        <f>VLOOKUP(I46,Venue!$A$4:$E$15,5)</f>
        <v>-3</v>
      </c>
    </row>
    <row r="47" spans="1:11" ht="15.75" customHeight="1">
      <c r="A47" s="141">
        <v>45</v>
      </c>
      <c r="B47" s="141" t="s">
        <v>416</v>
      </c>
      <c r="C47" s="142">
        <v>41816.541666666664</v>
      </c>
      <c r="D47" s="142">
        <f t="shared" si="0"/>
        <v>41817.041666666664</v>
      </c>
      <c r="E47" s="134" t="s">
        <v>63</v>
      </c>
      <c r="F47" s="135" t="str">
        <f>VLOOKUP(E47,Teams!$D$3:$E$34,2)</f>
        <v>USA</v>
      </c>
      <c r="G47" s="136" t="s">
        <v>65</v>
      </c>
      <c r="H47" s="137" t="str">
        <f>VLOOKUP(G47,Teams!$D$3:$E$34,2)</f>
        <v>GER</v>
      </c>
      <c r="I47" s="137">
        <v>9</v>
      </c>
      <c r="J47" s="137" t="str">
        <f>VLOOKUP(I47,Venue!$A$4:$E$15,2)</f>
        <v>Recife</v>
      </c>
      <c r="K47" s="137">
        <f>VLOOKUP(I47,Venue!$A$4:$E$15,5)</f>
        <v>-3</v>
      </c>
    </row>
    <row r="48" spans="1:11" ht="15.75" customHeight="1">
      <c r="A48" s="141">
        <v>46</v>
      </c>
      <c r="B48" s="141" t="s">
        <v>416</v>
      </c>
      <c r="C48" s="142">
        <v>41816.541666666664</v>
      </c>
      <c r="D48" s="142">
        <f t="shared" si="0"/>
        <v>41817.041666666664</v>
      </c>
      <c r="E48" s="134" t="s">
        <v>424</v>
      </c>
      <c r="F48" s="135" t="str">
        <f>VLOOKUP(E48,Teams!$D$3:$E$34,2)</f>
        <v>POR</v>
      </c>
      <c r="G48" s="136" t="s">
        <v>67</v>
      </c>
      <c r="H48" s="137" t="str">
        <f>VLOOKUP(G48,Teams!$D$3:$E$34,2)</f>
        <v>GHA</v>
      </c>
      <c r="I48" s="137">
        <v>2</v>
      </c>
      <c r="J48" s="137" t="str">
        <f>VLOOKUP(I48,Venue!$A$4:$E$15,2)</f>
        <v>Brasilia</v>
      </c>
      <c r="K48" s="137">
        <f>VLOOKUP(I48,Venue!$A$4:$E$15,5)</f>
        <v>-3</v>
      </c>
    </row>
    <row r="49" spans="1:11" ht="15.75" customHeight="1">
      <c r="A49" s="141">
        <v>47</v>
      </c>
      <c r="B49" s="141" t="s">
        <v>417</v>
      </c>
      <c r="C49" s="142">
        <v>41816.708333333336</v>
      </c>
      <c r="D49" s="142">
        <f t="shared" si="0"/>
        <v>41817.208333333336</v>
      </c>
      <c r="E49" s="134" t="s">
        <v>60</v>
      </c>
      <c r="F49" s="135" t="str">
        <f>VLOOKUP(E49,Teams!$D$3:$E$34,2)</f>
        <v>KOR</v>
      </c>
      <c r="G49" s="136" t="s">
        <v>284</v>
      </c>
      <c r="H49" s="137" t="str">
        <f>VLOOKUP(G49,Teams!$D$3:$E$34,2)</f>
        <v>BEL</v>
      </c>
      <c r="I49" s="137">
        <v>12</v>
      </c>
      <c r="J49" s="137" t="str">
        <f>VLOOKUP(I49,Venue!$A$4:$E$15,2)</f>
        <v>Sao Paulo</v>
      </c>
      <c r="K49" s="137">
        <f>VLOOKUP(I49,Venue!$A$4:$E$15,5)</f>
        <v>-3</v>
      </c>
    </row>
    <row r="50" spans="1:11" ht="15.75" customHeight="1">
      <c r="A50" s="141">
        <v>48</v>
      </c>
      <c r="B50" s="141" t="s">
        <v>417</v>
      </c>
      <c r="C50" s="142">
        <v>41816.708333333336</v>
      </c>
      <c r="D50" s="142">
        <f t="shared" si="0"/>
        <v>41817.208333333336</v>
      </c>
      <c r="E50" s="134" t="s">
        <v>64</v>
      </c>
      <c r="F50" s="135" t="str">
        <f>VLOOKUP(E50,Teams!$D$3:$E$34,2)</f>
        <v>ALG</v>
      </c>
      <c r="G50" s="136" t="s">
        <v>323</v>
      </c>
      <c r="H50" s="137" t="str">
        <f>VLOOKUP(G50,Teams!$D$3:$E$34,2)</f>
        <v>RUS</v>
      </c>
      <c r="I50" s="137">
        <v>4</v>
      </c>
      <c r="J50" s="137" t="str">
        <f>VLOOKUP(I50,Venue!$A$4:$E$15,2)</f>
        <v>Curitiba</v>
      </c>
      <c r="K50" s="137">
        <f>VLOOKUP(I50,Venue!$A$4:$E$15,5)</f>
        <v>-3</v>
      </c>
    </row>
    <row r="51" spans="1:11" ht="15.75" customHeight="1">
      <c r="A51" s="141">
        <v>49</v>
      </c>
      <c r="B51" s="141" t="s">
        <v>126</v>
      </c>
      <c r="C51" s="142">
        <v>41818.541666666664</v>
      </c>
      <c r="D51" s="142">
        <f t="shared" si="0"/>
        <v>41819.041666666664</v>
      </c>
      <c r="E51" s="134" t="s">
        <v>127</v>
      </c>
      <c r="F51" s="141"/>
      <c r="G51" s="136" t="s">
        <v>128</v>
      </c>
      <c r="H51" s="134"/>
      <c r="I51" s="141">
        <v>1</v>
      </c>
      <c r="J51" s="137" t="str">
        <f>VLOOKUP(I51,Venue!$A$4:$E$15,2)</f>
        <v>Belo Horizonte</v>
      </c>
      <c r="K51" s="137">
        <f>VLOOKUP(I51,Venue!$A$4:$E$15,5)</f>
        <v>-3</v>
      </c>
    </row>
    <row r="52" spans="1:11" ht="15.75" customHeight="1">
      <c r="A52" s="141">
        <v>50</v>
      </c>
      <c r="B52" s="141" t="s">
        <v>126</v>
      </c>
      <c r="C52" s="142">
        <v>41818.708333333336</v>
      </c>
      <c r="D52" s="142">
        <f t="shared" si="0"/>
        <v>41819.208333333336</v>
      </c>
      <c r="E52" s="134" t="s">
        <v>129</v>
      </c>
      <c r="F52" s="141"/>
      <c r="G52" s="136" t="s">
        <v>130</v>
      </c>
      <c r="H52" s="134"/>
      <c r="I52" s="141">
        <v>10</v>
      </c>
      <c r="J52" s="137" t="str">
        <f>VLOOKUP(I52,Venue!$A$4:$E$15,2)</f>
        <v>Rio de Janeiro</v>
      </c>
      <c r="K52" s="137">
        <f>VLOOKUP(I52,Venue!$A$4:$E$15,5)</f>
        <v>-3</v>
      </c>
    </row>
    <row r="53" spans="1:11" ht="15.75" customHeight="1">
      <c r="A53" s="141">
        <v>51</v>
      </c>
      <c r="B53" s="141" t="s">
        <v>126</v>
      </c>
      <c r="C53" s="142">
        <v>41819.541666666664</v>
      </c>
      <c r="D53" s="142">
        <f t="shared" si="0"/>
        <v>41820.041666666664</v>
      </c>
      <c r="E53" s="134" t="s">
        <v>131</v>
      </c>
      <c r="F53" s="141"/>
      <c r="G53" s="136" t="s">
        <v>133</v>
      </c>
      <c r="H53" s="134"/>
      <c r="I53" s="141">
        <v>5</v>
      </c>
      <c r="J53" s="137" t="str">
        <f>VLOOKUP(I53,Venue!$A$4:$E$15,2)</f>
        <v>Fortaleza</v>
      </c>
      <c r="K53" s="137">
        <f>VLOOKUP(I53,Venue!$A$4:$E$15,5)</f>
        <v>-3</v>
      </c>
    </row>
    <row r="54" spans="1:11" ht="15.75" customHeight="1">
      <c r="A54" s="141">
        <v>52</v>
      </c>
      <c r="B54" s="141" t="s">
        <v>126</v>
      </c>
      <c r="C54" s="142">
        <v>41819.708333333336</v>
      </c>
      <c r="D54" s="142">
        <f t="shared" si="0"/>
        <v>41820.208333333336</v>
      </c>
      <c r="E54" s="134" t="s">
        <v>132</v>
      </c>
      <c r="F54" s="141"/>
      <c r="G54" s="136" t="s">
        <v>134</v>
      </c>
      <c r="H54" s="134"/>
      <c r="I54" s="141">
        <v>9</v>
      </c>
      <c r="J54" s="137" t="str">
        <f>VLOOKUP(I54,Venue!$A$4:$E$15,2)</f>
        <v>Recife</v>
      </c>
      <c r="K54" s="137">
        <f>VLOOKUP(I54,Venue!$A$4:$E$15,5)</f>
        <v>-3</v>
      </c>
    </row>
    <row r="55" spans="1:11" ht="15.75" customHeight="1">
      <c r="A55" s="141">
        <v>53</v>
      </c>
      <c r="B55" s="141" t="s">
        <v>126</v>
      </c>
      <c r="C55" s="142">
        <v>41820.541666666664</v>
      </c>
      <c r="D55" s="142">
        <f t="shared" si="0"/>
        <v>41821.041666666664</v>
      </c>
      <c r="E55" s="134" t="s">
        <v>135</v>
      </c>
      <c r="F55" s="141"/>
      <c r="G55" s="136" t="s">
        <v>139</v>
      </c>
      <c r="H55" s="134"/>
      <c r="I55" s="141">
        <v>2</v>
      </c>
      <c r="J55" s="137" t="str">
        <f>VLOOKUP(I55,Venue!$A$4:$E$15,2)</f>
        <v>Brasilia</v>
      </c>
      <c r="K55" s="137">
        <f>VLOOKUP(I55,Venue!$A$4:$E$15,5)</f>
        <v>-3</v>
      </c>
    </row>
    <row r="56" spans="1:11" ht="15.75" customHeight="1">
      <c r="A56" s="141">
        <v>54</v>
      </c>
      <c r="B56" s="141" t="s">
        <v>126</v>
      </c>
      <c r="C56" s="142">
        <v>41820.708333333336</v>
      </c>
      <c r="D56" s="142">
        <f t="shared" si="0"/>
        <v>41821.208333333336</v>
      </c>
      <c r="E56" s="134" t="s">
        <v>136</v>
      </c>
      <c r="F56" s="141"/>
      <c r="G56" s="136" t="s">
        <v>140</v>
      </c>
      <c r="H56" s="134"/>
      <c r="I56" s="141">
        <v>8</v>
      </c>
      <c r="J56" s="137" t="str">
        <f>VLOOKUP(I56,Venue!$A$4:$E$15,2)</f>
        <v>Porto Alegre</v>
      </c>
      <c r="K56" s="137">
        <f>VLOOKUP(I56,Venue!$A$4:$E$15,5)</f>
        <v>-3</v>
      </c>
    </row>
    <row r="57" spans="1:11" ht="15.75" customHeight="1">
      <c r="A57" s="141">
        <v>55</v>
      </c>
      <c r="B57" s="141" t="s">
        <v>126</v>
      </c>
      <c r="C57" s="142">
        <v>41821.541666666664</v>
      </c>
      <c r="D57" s="142">
        <f t="shared" si="0"/>
        <v>41822.041666666664</v>
      </c>
      <c r="E57" s="134" t="s">
        <v>137</v>
      </c>
      <c r="F57" s="141"/>
      <c r="G57" s="136" t="s">
        <v>141</v>
      </c>
      <c r="H57" s="134"/>
      <c r="I57" s="141">
        <v>12</v>
      </c>
      <c r="J57" s="137" t="str">
        <f>VLOOKUP(I57,Venue!$A$4:$E$15,2)</f>
        <v>Sao Paulo</v>
      </c>
      <c r="K57" s="137">
        <f>VLOOKUP(I57,Venue!$A$4:$E$15,5)</f>
        <v>-3</v>
      </c>
    </row>
    <row r="58" spans="1:11" ht="15.75" customHeight="1">
      <c r="A58" s="141">
        <v>56</v>
      </c>
      <c r="B58" s="141" t="s">
        <v>126</v>
      </c>
      <c r="C58" s="142">
        <v>41821.708333333336</v>
      </c>
      <c r="D58" s="142">
        <f t="shared" si="0"/>
        <v>41822.208333333336</v>
      </c>
      <c r="E58" s="134" t="s">
        <v>138</v>
      </c>
      <c r="F58" s="141"/>
      <c r="G58" s="136" t="s">
        <v>142</v>
      </c>
      <c r="H58" s="134"/>
      <c r="I58" s="141">
        <v>11</v>
      </c>
      <c r="J58" s="137" t="str">
        <f>VLOOKUP(I58,Venue!$A$4:$E$15,2)</f>
        <v>Salvador</v>
      </c>
      <c r="K58" s="137">
        <f>VLOOKUP(I58,Venue!$A$4:$E$15,5)</f>
        <v>-3</v>
      </c>
    </row>
    <row r="59" spans="1:11" ht="15.75" customHeight="1">
      <c r="A59" s="141">
        <v>57</v>
      </c>
      <c r="B59" s="141" t="s">
        <v>124</v>
      </c>
      <c r="C59" s="142">
        <v>41824.708333333336</v>
      </c>
      <c r="D59" s="142">
        <f t="shared" si="0"/>
        <v>41825.208333333336</v>
      </c>
      <c r="E59" s="134" t="s">
        <v>143</v>
      </c>
      <c r="F59" s="141"/>
      <c r="G59" s="136" t="s">
        <v>144</v>
      </c>
      <c r="H59" s="134"/>
      <c r="I59" s="141">
        <v>5</v>
      </c>
      <c r="J59" s="137" t="str">
        <f>VLOOKUP(I59,Venue!$A$4:$E$15,2)</f>
        <v>Fortaleza</v>
      </c>
      <c r="K59" s="137">
        <f>VLOOKUP(I59,Venue!$A$4:$E$15,5)</f>
        <v>-3</v>
      </c>
    </row>
    <row r="60" spans="1:11" ht="15.75" customHeight="1">
      <c r="A60" s="141">
        <v>58</v>
      </c>
      <c r="B60" s="141" t="s">
        <v>124</v>
      </c>
      <c r="C60" s="142">
        <v>41824.541666666664</v>
      </c>
      <c r="D60" s="142">
        <f t="shared" si="0"/>
        <v>41825.041666666664</v>
      </c>
      <c r="E60" s="134" t="s">
        <v>145</v>
      </c>
      <c r="F60" s="141"/>
      <c r="G60" s="136" t="s">
        <v>146</v>
      </c>
      <c r="H60" s="134"/>
      <c r="I60" s="141">
        <v>10</v>
      </c>
      <c r="J60" s="137" t="str">
        <f>VLOOKUP(I60,Venue!$A$4:$E$15,2)</f>
        <v>Rio de Janeiro</v>
      </c>
      <c r="K60" s="137">
        <f>VLOOKUP(I60,Venue!$A$4:$E$15,5)</f>
        <v>-3</v>
      </c>
    </row>
    <row r="61" spans="1:11" ht="15.75" customHeight="1">
      <c r="A61" s="141">
        <v>59</v>
      </c>
      <c r="B61" s="141" t="s">
        <v>124</v>
      </c>
      <c r="C61" s="142">
        <v>41825.708333333336</v>
      </c>
      <c r="D61" s="142">
        <f t="shared" si="0"/>
        <v>41826.208333333336</v>
      </c>
      <c r="E61" s="134" t="s">
        <v>147</v>
      </c>
      <c r="F61" s="141"/>
      <c r="G61" s="136" t="s">
        <v>148</v>
      </c>
      <c r="H61" s="134"/>
      <c r="I61" s="141">
        <v>11</v>
      </c>
      <c r="J61" s="137" t="str">
        <f>VLOOKUP(I61,Venue!$A$4:$E$15,2)</f>
        <v>Salvador</v>
      </c>
      <c r="K61" s="137">
        <f>VLOOKUP(I61,Venue!$A$4:$E$15,5)</f>
        <v>-3</v>
      </c>
    </row>
    <row r="62" spans="1:11" ht="15.75" customHeight="1">
      <c r="A62" s="141">
        <v>60</v>
      </c>
      <c r="B62" s="141" t="s">
        <v>124</v>
      </c>
      <c r="C62" s="142">
        <v>41825.541666666664</v>
      </c>
      <c r="D62" s="142">
        <f t="shared" si="0"/>
        <v>41826.041666666664</v>
      </c>
      <c r="E62" s="134" t="s">
        <v>149</v>
      </c>
      <c r="F62" s="141"/>
      <c r="G62" s="136" t="s">
        <v>150</v>
      </c>
      <c r="H62" s="134"/>
      <c r="I62" s="141">
        <v>2</v>
      </c>
      <c r="J62" s="137" t="str">
        <f>VLOOKUP(I62,Venue!$A$4:$E$15,2)</f>
        <v>Brasilia</v>
      </c>
      <c r="K62" s="137">
        <f>VLOOKUP(I62,Venue!$A$4:$E$15,5)</f>
        <v>-3</v>
      </c>
    </row>
    <row r="63" spans="1:11" ht="15.75" customHeight="1">
      <c r="A63" s="141">
        <v>61</v>
      </c>
      <c r="B63" s="141" t="s">
        <v>125</v>
      </c>
      <c r="C63" s="142">
        <v>41828.708333333336</v>
      </c>
      <c r="D63" s="142">
        <f t="shared" si="0"/>
        <v>41829.208333333336</v>
      </c>
      <c r="E63" s="134" t="s">
        <v>151</v>
      </c>
      <c r="F63" s="141"/>
      <c r="G63" s="136" t="s">
        <v>152</v>
      </c>
      <c r="H63" s="134"/>
      <c r="I63" s="141">
        <v>1</v>
      </c>
      <c r="J63" s="137" t="str">
        <f>VLOOKUP(I63,Venue!$A$4:$E$15,2)</f>
        <v>Belo Horizonte</v>
      </c>
      <c r="K63" s="137">
        <f>VLOOKUP(I63,Venue!$A$4:$E$15,5)</f>
        <v>-3</v>
      </c>
    </row>
    <row r="64" spans="1:11" ht="15.75" customHeight="1">
      <c r="A64" s="141">
        <v>62</v>
      </c>
      <c r="B64" s="141" t="s">
        <v>125</v>
      </c>
      <c r="C64" s="142">
        <v>41829.708333333336</v>
      </c>
      <c r="D64" s="142">
        <f t="shared" si="0"/>
        <v>41830.208333333336</v>
      </c>
      <c r="E64" s="134" t="s">
        <v>153</v>
      </c>
      <c r="F64" s="141"/>
      <c r="G64" s="136" t="s">
        <v>154</v>
      </c>
      <c r="H64" s="134"/>
      <c r="I64" s="141">
        <v>12</v>
      </c>
      <c r="J64" s="137" t="str">
        <f>VLOOKUP(I64,Venue!$A$4:$E$15,2)</f>
        <v>Sao Paulo</v>
      </c>
      <c r="K64" s="137">
        <f>VLOOKUP(I64,Venue!$A$4:$E$15,5)</f>
        <v>-3</v>
      </c>
    </row>
    <row r="65" spans="1:11" ht="15.75" customHeight="1">
      <c r="A65" s="141">
        <v>63</v>
      </c>
      <c r="B65" s="141">
        <v>3</v>
      </c>
      <c r="C65" s="142">
        <v>41832.708333333336</v>
      </c>
      <c r="D65" s="142">
        <f t="shared" si="0"/>
        <v>41833.208333333336</v>
      </c>
      <c r="E65" s="134" t="s">
        <v>155</v>
      </c>
      <c r="F65" s="141"/>
      <c r="G65" s="136" t="s">
        <v>156</v>
      </c>
      <c r="H65" s="134"/>
      <c r="I65" s="141">
        <v>2</v>
      </c>
      <c r="J65" s="137" t="str">
        <f>VLOOKUP(I65,Venue!$A$4:$E$15,2)</f>
        <v>Brasilia</v>
      </c>
      <c r="K65" s="137">
        <f>VLOOKUP(I65,Venue!$A$4:$E$15,5)</f>
        <v>-3</v>
      </c>
    </row>
    <row r="66" spans="1:11" ht="15.75" customHeight="1">
      <c r="A66" s="141">
        <v>64</v>
      </c>
      <c r="B66" s="141" t="s">
        <v>121</v>
      </c>
      <c r="C66" s="142">
        <v>41833.666666666664</v>
      </c>
      <c r="D66" s="142">
        <f t="shared" si="0"/>
        <v>41834.166666666664</v>
      </c>
      <c r="E66" s="134" t="s">
        <v>157</v>
      </c>
      <c r="F66" s="141"/>
      <c r="G66" s="136" t="s">
        <v>158</v>
      </c>
      <c r="H66" s="134"/>
      <c r="I66" s="141">
        <v>10</v>
      </c>
      <c r="J66" s="137" t="str">
        <f>VLOOKUP(I66,Venue!$A$4:$E$15,2)</f>
        <v>Rio de Janeiro</v>
      </c>
      <c r="K66" s="137">
        <f>VLOOKUP(I66,Venue!$A$4:$E$15,5)</f>
        <v>-3</v>
      </c>
    </row>
  </sheetData>
  <sheetProtection sheet="1" objects="1" scenarios="1"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3" sqref="A3"/>
    </sheetView>
  </sheetViews>
  <sheetFormatPr defaultColWidth="8.796875" defaultRowHeight="18" customHeight="1"/>
  <cols>
    <col min="1" max="1" width="3.5" style="10" bestFit="1" customWidth="1"/>
    <col min="2" max="2" width="14.5" style="10" bestFit="1" customWidth="1"/>
    <col min="3" max="3" width="23.5" style="12" bestFit="1" customWidth="1"/>
    <col min="4" max="4" width="20.19921875" style="115" customWidth="1"/>
    <col min="5" max="5" width="5.59765625" style="10" bestFit="1" customWidth="1"/>
    <col min="6" max="6" width="7.3984375" style="10" bestFit="1" customWidth="1"/>
    <col min="7" max="7" width="10.59765625" style="10" bestFit="1" customWidth="1"/>
    <col min="8" max="16384" width="9" style="12" customWidth="1"/>
  </cols>
  <sheetData>
    <row r="1" spans="1:4" ht="18" customHeight="1">
      <c r="A1" s="145" t="s">
        <v>122</v>
      </c>
      <c r="C1" s="258" t="s">
        <v>123</v>
      </c>
      <c r="D1" s="258"/>
    </row>
    <row r="2" spans="1:7" ht="18" customHeight="1">
      <c r="A2" s="120" t="s">
        <v>93</v>
      </c>
      <c r="B2" s="120" t="s">
        <v>87</v>
      </c>
      <c r="C2" s="120" t="s">
        <v>91</v>
      </c>
      <c r="D2" s="120" t="s">
        <v>92</v>
      </c>
      <c r="E2" s="120" t="s">
        <v>90</v>
      </c>
      <c r="F2" s="120" t="s">
        <v>88</v>
      </c>
      <c r="G2" s="120" t="s">
        <v>89</v>
      </c>
    </row>
    <row r="3" spans="1:7" ht="18" customHeight="1">
      <c r="A3" s="199">
        <v>2</v>
      </c>
      <c r="B3" s="204" t="s">
        <v>244</v>
      </c>
      <c r="C3" s="12" t="s">
        <v>245</v>
      </c>
      <c r="D3" s="199" t="s">
        <v>64</v>
      </c>
      <c r="E3" s="202" t="s">
        <v>246</v>
      </c>
      <c r="F3" s="203" t="s">
        <v>247</v>
      </c>
      <c r="G3" s="203" t="s">
        <v>248</v>
      </c>
    </row>
    <row r="4" spans="1:7" ht="18" customHeight="1">
      <c r="A4" s="199">
        <v>28</v>
      </c>
      <c r="B4" s="204" t="s">
        <v>345</v>
      </c>
      <c r="C4" s="12" t="s">
        <v>346</v>
      </c>
      <c r="D4" s="199" t="s">
        <v>58</v>
      </c>
      <c r="E4" s="202" t="s">
        <v>347</v>
      </c>
      <c r="F4" s="203" t="s">
        <v>289</v>
      </c>
      <c r="G4" s="203" t="s">
        <v>348</v>
      </c>
    </row>
    <row r="5" spans="1:7" ht="18" customHeight="1">
      <c r="A5" s="199">
        <v>7</v>
      </c>
      <c r="B5" s="199" t="s">
        <v>264</v>
      </c>
      <c r="C5" s="201" t="s">
        <v>265</v>
      </c>
      <c r="D5" s="199" t="s">
        <v>66</v>
      </c>
      <c r="E5" s="202" t="s">
        <v>266</v>
      </c>
      <c r="F5" s="203" t="s">
        <v>267</v>
      </c>
      <c r="G5" s="203" t="s">
        <v>268</v>
      </c>
    </row>
    <row r="6" spans="1:7" ht="18" customHeight="1">
      <c r="A6" s="199">
        <v>11</v>
      </c>
      <c r="B6" s="199" t="s">
        <v>282</v>
      </c>
      <c r="C6" s="201" t="s">
        <v>283</v>
      </c>
      <c r="D6" s="199" t="s">
        <v>284</v>
      </c>
      <c r="E6" s="202" t="s">
        <v>285</v>
      </c>
      <c r="F6" s="203" t="s">
        <v>280</v>
      </c>
      <c r="G6" s="203" t="s">
        <v>286</v>
      </c>
    </row>
    <row r="7" spans="1:7" ht="18" customHeight="1">
      <c r="A7" s="199">
        <v>12</v>
      </c>
      <c r="B7" s="199" t="s">
        <v>282</v>
      </c>
      <c r="C7" s="201" t="s">
        <v>363</v>
      </c>
      <c r="D7" s="199" t="s">
        <v>287</v>
      </c>
      <c r="E7" s="202" t="s">
        <v>288</v>
      </c>
      <c r="F7" s="203" t="s">
        <v>289</v>
      </c>
      <c r="G7" s="203" t="s">
        <v>290</v>
      </c>
    </row>
    <row r="8" spans="1:7" ht="18" customHeight="1">
      <c r="A8" s="199">
        <v>1</v>
      </c>
      <c r="B8" s="200" t="s">
        <v>239</v>
      </c>
      <c r="C8" s="201" t="s">
        <v>240</v>
      </c>
      <c r="D8" s="199" t="s">
        <v>73</v>
      </c>
      <c r="E8" s="202" t="s">
        <v>241</v>
      </c>
      <c r="F8" s="203" t="s">
        <v>242</v>
      </c>
      <c r="G8" s="203" t="s">
        <v>243</v>
      </c>
    </row>
    <row r="9" spans="1:7" ht="18" customHeight="1">
      <c r="A9" s="199">
        <v>3</v>
      </c>
      <c r="B9" s="204" t="s">
        <v>244</v>
      </c>
      <c r="C9" s="12" t="s">
        <v>249</v>
      </c>
      <c r="D9" s="199" t="s">
        <v>70</v>
      </c>
      <c r="E9" s="202" t="s">
        <v>250</v>
      </c>
      <c r="F9" s="203" t="s">
        <v>242</v>
      </c>
      <c r="G9" s="203" t="s">
        <v>251</v>
      </c>
    </row>
    <row r="10" spans="1:7" ht="18" customHeight="1">
      <c r="A10" s="199">
        <v>29</v>
      </c>
      <c r="B10" s="204" t="s">
        <v>345</v>
      </c>
      <c r="C10" s="12" t="s">
        <v>349</v>
      </c>
      <c r="D10" s="199" t="s">
        <v>75</v>
      </c>
      <c r="E10" s="202" t="s">
        <v>350</v>
      </c>
      <c r="F10" s="203" t="s">
        <v>317</v>
      </c>
      <c r="G10" s="203" t="s">
        <v>351</v>
      </c>
    </row>
    <row r="11" spans="1:7" ht="18" customHeight="1">
      <c r="A11" s="199">
        <v>4</v>
      </c>
      <c r="B11" s="204" t="s">
        <v>244</v>
      </c>
      <c r="C11" s="12" t="s">
        <v>438</v>
      </c>
      <c r="D11" s="199" t="s">
        <v>252</v>
      </c>
      <c r="E11" s="202" t="s">
        <v>253</v>
      </c>
      <c r="F11" s="203" t="s">
        <v>254</v>
      </c>
      <c r="G11" s="203" t="s">
        <v>255</v>
      </c>
    </row>
    <row r="12" spans="1:7" ht="18" customHeight="1">
      <c r="A12" s="199">
        <v>30</v>
      </c>
      <c r="B12" s="204" t="s">
        <v>345</v>
      </c>
      <c r="C12" s="12" t="s">
        <v>352</v>
      </c>
      <c r="D12" s="199" t="s">
        <v>353</v>
      </c>
      <c r="E12" s="202" t="s">
        <v>354</v>
      </c>
      <c r="F12" s="203" t="s">
        <v>310</v>
      </c>
      <c r="G12" s="203" t="s">
        <v>355</v>
      </c>
    </row>
    <row r="13" spans="1:7" ht="18" customHeight="1">
      <c r="A13" s="199">
        <v>24</v>
      </c>
      <c r="B13" s="204" t="s">
        <v>332</v>
      </c>
      <c r="C13" s="12" t="s">
        <v>333</v>
      </c>
      <c r="D13" s="199" t="s">
        <v>334</v>
      </c>
      <c r="E13" s="202" t="s">
        <v>335</v>
      </c>
      <c r="F13" s="203" t="s">
        <v>298</v>
      </c>
      <c r="G13" s="203" t="s">
        <v>336</v>
      </c>
    </row>
    <row r="14" spans="1:7" ht="18" customHeight="1">
      <c r="A14" s="199">
        <v>13</v>
      </c>
      <c r="B14" s="199" t="s">
        <v>282</v>
      </c>
      <c r="C14" s="201" t="s">
        <v>291</v>
      </c>
      <c r="D14" s="199" t="s">
        <v>292</v>
      </c>
      <c r="E14" s="202" t="s">
        <v>293</v>
      </c>
      <c r="F14" s="203" t="s">
        <v>294</v>
      </c>
      <c r="G14" s="203" t="s">
        <v>295</v>
      </c>
    </row>
    <row r="15" spans="1:7" ht="18" customHeight="1">
      <c r="A15" s="199">
        <v>31</v>
      </c>
      <c r="B15" s="204" t="s">
        <v>345</v>
      </c>
      <c r="C15" s="12" t="s">
        <v>356</v>
      </c>
      <c r="D15" s="199" t="s">
        <v>420</v>
      </c>
      <c r="E15" s="202" t="s">
        <v>357</v>
      </c>
      <c r="F15" s="203" t="s">
        <v>302</v>
      </c>
      <c r="G15" s="203" t="s">
        <v>358</v>
      </c>
    </row>
    <row r="16" spans="1:7" ht="18" customHeight="1">
      <c r="A16" s="199">
        <v>14</v>
      </c>
      <c r="B16" s="199" t="s">
        <v>282</v>
      </c>
      <c r="C16" s="201" t="s">
        <v>296</v>
      </c>
      <c r="D16" s="199" t="s">
        <v>62</v>
      </c>
      <c r="E16" s="202" t="s">
        <v>297</v>
      </c>
      <c r="F16" s="203" t="s">
        <v>298</v>
      </c>
      <c r="G16" s="203" t="s">
        <v>299</v>
      </c>
    </row>
    <row r="17" spans="1:7" ht="18" customHeight="1">
      <c r="A17" s="199">
        <v>15</v>
      </c>
      <c r="B17" s="199" t="s">
        <v>282</v>
      </c>
      <c r="C17" s="201" t="s">
        <v>300</v>
      </c>
      <c r="D17" s="199" t="s">
        <v>57</v>
      </c>
      <c r="E17" s="202" t="s">
        <v>301</v>
      </c>
      <c r="F17" s="203" t="s">
        <v>302</v>
      </c>
      <c r="G17" s="203" t="s">
        <v>303</v>
      </c>
    </row>
    <row r="18" spans="1:7" ht="18" customHeight="1">
      <c r="A18" s="199">
        <v>16</v>
      </c>
      <c r="B18" s="199" t="s">
        <v>282</v>
      </c>
      <c r="C18" s="201" t="s">
        <v>304</v>
      </c>
      <c r="D18" s="199" t="s">
        <v>65</v>
      </c>
      <c r="E18" s="202" t="s">
        <v>305</v>
      </c>
      <c r="F18" s="203" t="s">
        <v>306</v>
      </c>
      <c r="G18" s="203" t="s">
        <v>307</v>
      </c>
    </row>
    <row r="19" spans="1:7" ht="18" customHeight="1">
      <c r="A19" s="199">
        <v>5</v>
      </c>
      <c r="B19" s="204" t="s">
        <v>244</v>
      </c>
      <c r="C19" s="12" t="s">
        <v>256</v>
      </c>
      <c r="D19" s="199" t="s">
        <v>67</v>
      </c>
      <c r="E19" s="202" t="s">
        <v>257</v>
      </c>
      <c r="F19" s="203" t="s">
        <v>258</v>
      </c>
      <c r="G19" s="203" t="s">
        <v>259</v>
      </c>
    </row>
    <row r="20" spans="1:7" ht="18" customHeight="1">
      <c r="A20" s="199">
        <v>17</v>
      </c>
      <c r="B20" s="199" t="s">
        <v>282</v>
      </c>
      <c r="C20" s="201" t="s">
        <v>308</v>
      </c>
      <c r="D20" s="199" t="s">
        <v>61</v>
      </c>
      <c r="E20" s="202" t="s">
        <v>309</v>
      </c>
      <c r="F20" s="203" t="s">
        <v>310</v>
      </c>
      <c r="G20" s="203" t="s">
        <v>311</v>
      </c>
    </row>
    <row r="21" spans="1:7" ht="18" customHeight="1">
      <c r="A21" s="199">
        <v>25</v>
      </c>
      <c r="B21" s="204" t="s">
        <v>332</v>
      </c>
      <c r="C21" s="12" t="s">
        <v>337</v>
      </c>
      <c r="D21" s="199" t="s">
        <v>74</v>
      </c>
      <c r="E21" s="202" t="s">
        <v>338</v>
      </c>
      <c r="F21" s="203" t="s">
        <v>302</v>
      </c>
      <c r="G21" s="203" t="s">
        <v>339</v>
      </c>
    </row>
    <row r="22" spans="1:7" ht="18" customHeight="1">
      <c r="A22" s="199">
        <v>8</v>
      </c>
      <c r="B22" s="199" t="s">
        <v>269</v>
      </c>
      <c r="C22" s="201" t="s">
        <v>270</v>
      </c>
      <c r="D22" s="199" t="s">
        <v>271</v>
      </c>
      <c r="E22" s="202" t="s">
        <v>272</v>
      </c>
      <c r="F22" s="203" t="s">
        <v>262</v>
      </c>
      <c r="G22" s="203" t="s">
        <v>273</v>
      </c>
    </row>
    <row r="23" spans="1:7" ht="18" customHeight="1">
      <c r="A23" s="199">
        <v>18</v>
      </c>
      <c r="B23" s="199" t="s">
        <v>282</v>
      </c>
      <c r="C23" s="201" t="s">
        <v>312</v>
      </c>
      <c r="D23" s="199" t="s">
        <v>71</v>
      </c>
      <c r="E23" s="202" t="s">
        <v>313</v>
      </c>
      <c r="F23" s="203" t="s">
        <v>298</v>
      </c>
      <c r="G23" s="203" t="s">
        <v>314</v>
      </c>
    </row>
    <row r="24" spans="1:7" ht="18" customHeight="1">
      <c r="A24" s="199">
        <v>9</v>
      </c>
      <c r="B24" s="199" t="s">
        <v>269</v>
      </c>
      <c r="C24" s="201" t="s">
        <v>274</v>
      </c>
      <c r="D24" s="199" t="s">
        <v>69</v>
      </c>
      <c r="E24" s="202" t="s">
        <v>275</v>
      </c>
      <c r="F24" s="203" t="s">
        <v>276</v>
      </c>
      <c r="G24" s="203" t="s">
        <v>277</v>
      </c>
    </row>
    <row r="25" spans="1:7" ht="18" customHeight="1">
      <c r="A25" s="199">
        <v>10</v>
      </c>
      <c r="B25" s="199" t="s">
        <v>269</v>
      </c>
      <c r="C25" s="201" t="s">
        <v>278</v>
      </c>
      <c r="D25" s="199" t="s">
        <v>60</v>
      </c>
      <c r="E25" s="202" t="s">
        <v>279</v>
      </c>
      <c r="F25" s="203" t="s">
        <v>280</v>
      </c>
      <c r="G25" s="203" t="s">
        <v>281</v>
      </c>
    </row>
    <row r="26" spans="1:7" ht="18" customHeight="1">
      <c r="A26" s="199">
        <v>26</v>
      </c>
      <c r="B26" s="204" t="s">
        <v>332</v>
      </c>
      <c r="C26" s="12" t="s">
        <v>340</v>
      </c>
      <c r="D26" s="199" t="s">
        <v>56</v>
      </c>
      <c r="E26" s="202" t="s">
        <v>341</v>
      </c>
      <c r="F26" s="203" t="s">
        <v>294</v>
      </c>
      <c r="G26" s="203" t="s">
        <v>342</v>
      </c>
    </row>
    <row r="27" spans="1:7" ht="18" customHeight="1">
      <c r="A27" s="199">
        <v>19</v>
      </c>
      <c r="B27" s="199" t="s">
        <v>282</v>
      </c>
      <c r="C27" s="201" t="s">
        <v>315</v>
      </c>
      <c r="D27" s="199" t="s">
        <v>68</v>
      </c>
      <c r="E27" s="202" t="s">
        <v>316</v>
      </c>
      <c r="F27" s="203" t="s">
        <v>317</v>
      </c>
      <c r="G27" s="203" t="s">
        <v>318</v>
      </c>
    </row>
    <row r="28" spans="1:7" ht="18" customHeight="1">
      <c r="A28" s="199">
        <v>6</v>
      </c>
      <c r="B28" s="204" t="s">
        <v>244</v>
      </c>
      <c r="C28" s="12" t="s">
        <v>260</v>
      </c>
      <c r="D28" s="199" t="s">
        <v>59</v>
      </c>
      <c r="E28" s="202" t="s">
        <v>261</v>
      </c>
      <c r="F28" s="203" t="s">
        <v>262</v>
      </c>
      <c r="G28" s="203" t="s">
        <v>263</v>
      </c>
    </row>
    <row r="29" spans="1:7" ht="18" customHeight="1">
      <c r="A29" s="199">
        <v>20</v>
      </c>
      <c r="B29" s="199" t="s">
        <v>282</v>
      </c>
      <c r="C29" s="201" t="s">
        <v>319</v>
      </c>
      <c r="D29" s="199" t="s">
        <v>72</v>
      </c>
      <c r="E29" s="202" t="s">
        <v>320</v>
      </c>
      <c r="F29" s="203" t="s">
        <v>306</v>
      </c>
      <c r="G29" s="203" t="s">
        <v>321</v>
      </c>
    </row>
    <row r="30" spans="1:7" ht="18" customHeight="1">
      <c r="A30" s="199">
        <v>21</v>
      </c>
      <c r="B30" s="199" t="s">
        <v>282</v>
      </c>
      <c r="C30" s="201" t="s">
        <v>322</v>
      </c>
      <c r="D30" s="199" t="s">
        <v>323</v>
      </c>
      <c r="E30" s="202" t="s">
        <v>324</v>
      </c>
      <c r="F30" s="203" t="s">
        <v>280</v>
      </c>
      <c r="G30" s="203" t="s">
        <v>325</v>
      </c>
    </row>
    <row r="31" spans="1:7" ht="18" customHeight="1">
      <c r="A31" s="199">
        <v>22</v>
      </c>
      <c r="B31" s="199" t="s">
        <v>282</v>
      </c>
      <c r="C31" s="201" t="s">
        <v>326</v>
      </c>
      <c r="D31" s="199" t="s">
        <v>76</v>
      </c>
      <c r="E31" s="202" t="s">
        <v>327</v>
      </c>
      <c r="F31" s="203" t="s">
        <v>317</v>
      </c>
      <c r="G31" s="203" t="s">
        <v>328</v>
      </c>
    </row>
    <row r="32" spans="1:7" ht="18" customHeight="1">
      <c r="A32" s="199">
        <v>23</v>
      </c>
      <c r="B32" s="199" t="s">
        <v>282</v>
      </c>
      <c r="C32" s="201" t="s">
        <v>329</v>
      </c>
      <c r="D32" s="199" t="s">
        <v>77</v>
      </c>
      <c r="E32" s="202" t="s">
        <v>330</v>
      </c>
      <c r="F32" s="203" t="s">
        <v>302</v>
      </c>
      <c r="G32" s="203" t="s">
        <v>331</v>
      </c>
    </row>
    <row r="33" spans="1:7" ht="18" customHeight="1">
      <c r="A33" s="199">
        <v>32</v>
      </c>
      <c r="B33" s="204" t="s">
        <v>345</v>
      </c>
      <c r="C33" s="12" t="s">
        <v>359</v>
      </c>
      <c r="D33" s="199" t="s">
        <v>360</v>
      </c>
      <c r="E33" s="202" t="s">
        <v>361</v>
      </c>
      <c r="F33" s="203" t="s">
        <v>298</v>
      </c>
      <c r="G33" s="203" t="s">
        <v>362</v>
      </c>
    </row>
    <row r="34" spans="1:7" ht="18" customHeight="1">
      <c r="A34" s="199">
        <v>27</v>
      </c>
      <c r="B34" s="204" t="s">
        <v>332</v>
      </c>
      <c r="C34" s="12" t="s">
        <v>343</v>
      </c>
      <c r="D34" s="199" t="s">
        <v>63</v>
      </c>
      <c r="E34" s="202" t="s">
        <v>63</v>
      </c>
      <c r="F34" s="203" t="s">
        <v>306</v>
      </c>
      <c r="G34" s="203" t="s">
        <v>344</v>
      </c>
    </row>
  </sheetData>
  <sheetProtection sheet="1" objects="1" scenarios="1"/>
  <mergeCells count="1">
    <mergeCell ref="C1:D1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D2" sqref="D2"/>
    </sheetView>
  </sheetViews>
  <sheetFormatPr defaultColWidth="8.796875" defaultRowHeight="18" customHeight="1"/>
  <cols>
    <col min="1" max="1" width="4.09765625" style="10" bestFit="1" customWidth="1"/>
    <col min="2" max="2" width="14.09765625" style="12" bestFit="1" customWidth="1"/>
    <col min="3" max="3" width="5.5" style="10" bestFit="1" customWidth="1"/>
    <col min="4" max="4" width="16" style="12" bestFit="1" customWidth="1"/>
    <col min="5" max="5" width="6.19921875" style="9" bestFit="1" customWidth="1"/>
    <col min="6" max="16384" width="9" style="12" customWidth="1"/>
  </cols>
  <sheetData>
    <row r="2" ht="18" customHeight="1">
      <c r="E2" s="9" t="s">
        <v>440</v>
      </c>
    </row>
    <row r="3" spans="1:5" ht="18" customHeight="1">
      <c r="A3" s="198" t="s">
        <v>418</v>
      </c>
      <c r="B3" s="197" t="s">
        <v>80</v>
      </c>
      <c r="C3" s="198" t="s">
        <v>54</v>
      </c>
      <c r="D3" s="197" t="s">
        <v>55</v>
      </c>
      <c r="E3" s="208" t="s">
        <v>429</v>
      </c>
    </row>
    <row r="4" spans="1:5" ht="18" customHeight="1">
      <c r="A4" s="196">
        <v>1</v>
      </c>
      <c r="B4" s="157" t="s">
        <v>217</v>
      </c>
      <c r="C4" s="196"/>
      <c r="D4" s="157" t="s">
        <v>364</v>
      </c>
      <c r="E4" s="141">
        <v>-3</v>
      </c>
    </row>
    <row r="5" spans="1:5" ht="18" customHeight="1">
      <c r="A5" s="196">
        <v>2</v>
      </c>
      <c r="B5" s="157" t="s">
        <v>218</v>
      </c>
      <c r="C5" s="196"/>
      <c r="D5" s="157" t="s">
        <v>235</v>
      </c>
      <c r="E5" s="141">
        <v>-3</v>
      </c>
    </row>
    <row r="6" spans="1:5" ht="18" customHeight="1">
      <c r="A6" s="196">
        <v>3</v>
      </c>
      <c r="B6" s="157" t="s">
        <v>219</v>
      </c>
      <c r="C6" s="196"/>
      <c r="D6" s="157" t="s">
        <v>236</v>
      </c>
      <c r="E6" s="141">
        <v>-4</v>
      </c>
    </row>
    <row r="7" spans="1:5" ht="18" customHeight="1">
      <c r="A7" s="196">
        <v>4</v>
      </c>
      <c r="B7" s="157" t="s">
        <v>220</v>
      </c>
      <c r="C7" s="196"/>
      <c r="D7" s="157" t="s">
        <v>238</v>
      </c>
      <c r="E7" s="141">
        <v>-3</v>
      </c>
    </row>
    <row r="8" spans="1:5" ht="18" customHeight="1">
      <c r="A8" s="196">
        <v>5</v>
      </c>
      <c r="B8" s="155" t="s">
        <v>221</v>
      </c>
      <c r="C8" s="196"/>
      <c r="D8" s="157" t="s">
        <v>365</v>
      </c>
      <c r="E8" s="141">
        <v>-3</v>
      </c>
    </row>
    <row r="9" spans="1:5" ht="18" customHeight="1">
      <c r="A9" s="196">
        <v>6</v>
      </c>
      <c r="B9" s="156" t="s">
        <v>222</v>
      </c>
      <c r="C9" s="196"/>
      <c r="D9" s="157" t="s">
        <v>237</v>
      </c>
      <c r="E9" s="141">
        <v>-4</v>
      </c>
    </row>
    <row r="10" spans="1:5" ht="18" customHeight="1">
      <c r="A10" s="196">
        <v>7</v>
      </c>
      <c r="B10" s="157" t="s">
        <v>223</v>
      </c>
      <c r="C10" s="196"/>
      <c r="D10" s="157" t="s">
        <v>234</v>
      </c>
      <c r="E10" s="141">
        <v>-3</v>
      </c>
    </row>
    <row r="11" spans="1:5" ht="18" customHeight="1">
      <c r="A11" s="196">
        <v>8</v>
      </c>
      <c r="B11" s="157" t="s">
        <v>224</v>
      </c>
      <c r="C11" s="196"/>
      <c r="D11" s="157" t="s">
        <v>233</v>
      </c>
      <c r="E11" s="141">
        <v>-3</v>
      </c>
    </row>
    <row r="12" spans="1:5" ht="18" customHeight="1">
      <c r="A12" s="196">
        <v>9</v>
      </c>
      <c r="B12" s="157" t="s">
        <v>225</v>
      </c>
      <c r="C12" s="196"/>
      <c r="D12" s="157" t="s">
        <v>232</v>
      </c>
      <c r="E12" s="141">
        <v>-3</v>
      </c>
    </row>
    <row r="13" spans="1:5" ht="18" customHeight="1">
      <c r="A13" s="196">
        <v>10</v>
      </c>
      <c r="B13" s="155" t="s">
        <v>226</v>
      </c>
      <c r="C13" s="196"/>
      <c r="D13" s="157" t="s">
        <v>231</v>
      </c>
      <c r="E13" s="141">
        <v>-3</v>
      </c>
    </row>
    <row r="14" spans="1:5" ht="18" customHeight="1">
      <c r="A14" s="196">
        <v>11</v>
      </c>
      <c r="B14" s="157" t="s">
        <v>227</v>
      </c>
      <c r="C14" s="196"/>
      <c r="D14" s="157" t="s">
        <v>230</v>
      </c>
      <c r="E14" s="141">
        <v>-3</v>
      </c>
    </row>
    <row r="15" spans="1:5" ht="18" customHeight="1">
      <c r="A15" s="196">
        <v>12</v>
      </c>
      <c r="B15" s="157" t="s">
        <v>228</v>
      </c>
      <c r="C15" s="196"/>
      <c r="D15" s="157" t="s">
        <v>229</v>
      </c>
      <c r="E15" s="141">
        <v>-3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 topLeftCell="B1">
      <selection activeCell="C10" sqref="C10"/>
    </sheetView>
  </sheetViews>
  <sheetFormatPr defaultColWidth="8.796875" defaultRowHeight="30" customHeight="1"/>
  <cols>
    <col min="1" max="1" width="5.09765625" style="113" customWidth="1"/>
    <col min="2" max="2" width="21.59765625" style="114" bestFit="1" customWidth="1"/>
    <col min="3" max="3" width="63.69921875" style="113" bestFit="1" customWidth="1"/>
    <col min="4" max="16384" width="9" style="113" customWidth="1"/>
  </cols>
  <sheetData>
    <row r="1" ht="30" customHeight="1" thickBot="1"/>
    <row r="2" spans="2:3" ht="30" customHeight="1" thickBot="1">
      <c r="B2" s="259" t="s">
        <v>192</v>
      </c>
      <c r="C2" s="260"/>
    </row>
    <row r="3" spans="2:3" ht="30" customHeight="1">
      <c r="B3" s="117" t="s">
        <v>79</v>
      </c>
      <c r="C3" s="205" t="s">
        <v>366</v>
      </c>
    </row>
    <row r="4" spans="2:3" ht="30" customHeight="1">
      <c r="B4" s="118" t="s">
        <v>110</v>
      </c>
      <c r="C4" s="116" t="s">
        <v>109</v>
      </c>
    </row>
    <row r="5" spans="2:3" ht="30" customHeight="1">
      <c r="B5" s="118" t="s">
        <v>78</v>
      </c>
      <c r="C5" s="116" t="s">
        <v>368</v>
      </c>
    </row>
    <row r="6" spans="2:3" ht="30" customHeight="1">
      <c r="B6" s="118" t="s">
        <v>85</v>
      </c>
      <c r="C6" s="116" t="s">
        <v>369</v>
      </c>
    </row>
    <row r="7" spans="2:3" ht="30" customHeight="1">
      <c r="B7" s="118" t="s">
        <v>84</v>
      </c>
      <c r="C7" s="116" t="s">
        <v>370</v>
      </c>
    </row>
    <row r="8" spans="2:3" ht="30" customHeight="1">
      <c r="B8" s="118" t="s">
        <v>83</v>
      </c>
      <c r="C8" s="116" t="s">
        <v>367</v>
      </c>
    </row>
    <row r="9" spans="2:3" ht="30" customHeight="1">
      <c r="B9" s="118" t="s">
        <v>82</v>
      </c>
      <c r="C9" s="116"/>
    </row>
    <row r="10" spans="2:3" ht="30" customHeight="1" thickBot="1">
      <c r="B10" s="119" t="s">
        <v>81</v>
      </c>
      <c r="C10" s="206"/>
    </row>
  </sheetData>
  <mergeCells count="1">
    <mergeCell ref="B2:C2"/>
  </mergeCells>
  <hyperlinks>
    <hyperlink ref="C3" r:id="rId1" display="http://www.fifa.com/worldcup/index.html"/>
    <hyperlink ref="C4" r:id="rId2" display="http://samuraiblue.jp/"/>
  </hyperlinks>
  <printOptions/>
  <pageMargins left="0.75" right="0.75" top="1" bottom="1" header="0.512" footer="0.512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workbookViewId="0" topLeftCell="A1">
      <selection activeCell="H12" sqref="H12"/>
    </sheetView>
  </sheetViews>
  <sheetFormatPr defaultColWidth="8.796875" defaultRowHeight="15.75" customHeight="1"/>
  <cols>
    <col min="1" max="1" width="9.09765625" style="42" bestFit="1" customWidth="1"/>
    <col min="2" max="2" width="2.59765625" style="9" customWidth="1"/>
    <col min="3" max="3" width="5.8984375" style="42" customWidth="1"/>
    <col min="4" max="4" width="5.8984375" style="9" customWidth="1"/>
    <col min="5" max="5" width="3.8984375" style="8" customWidth="1"/>
    <col min="6" max="6" width="3" style="42" customWidth="1"/>
    <col min="7" max="7" width="18.5" style="108" bestFit="1" customWidth="1"/>
    <col min="8" max="8" width="2.09765625" style="109" customWidth="1"/>
    <col min="9" max="9" width="2.3984375" style="42" customWidth="1"/>
    <col min="10" max="10" width="2.09765625" style="42" customWidth="1"/>
    <col min="11" max="11" width="18.5" style="110" bestFit="1" customWidth="1"/>
    <col min="12" max="12" width="13.8984375" style="112" bestFit="1" customWidth="1"/>
    <col min="13" max="13" width="1.59765625" style="39" customWidth="1"/>
    <col min="14" max="14" width="3.59765625" style="39" customWidth="1"/>
    <col min="15" max="16384" width="9" style="39" customWidth="1"/>
  </cols>
  <sheetData>
    <row r="1" spans="1:5" ht="15.75" customHeight="1">
      <c r="A1" s="227">
        <f ca="1">NOW()</f>
        <v>41806.58331516204</v>
      </c>
      <c r="B1" s="224" t="str">
        <f>TEXT(A1,"aaa")</f>
        <v>月</v>
      </c>
      <c r="C1" s="225"/>
      <c r="D1" s="226">
        <f>A1</f>
        <v>41806.58331516204</v>
      </c>
      <c r="E1" s="38" t="s">
        <v>52</v>
      </c>
    </row>
    <row r="2" spans="1:12" ht="15.75" customHeight="1">
      <c r="A2" s="220" t="s">
        <v>436</v>
      </c>
      <c r="B2" s="2"/>
      <c r="C2" s="1" t="s">
        <v>86</v>
      </c>
      <c r="D2" s="2"/>
      <c r="E2" s="245" t="s">
        <v>21</v>
      </c>
      <c r="F2" s="247" t="s">
        <v>17</v>
      </c>
      <c r="G2" s="3"/>
      <c r="H2" s="242" t="s">
        <v>18</v>
      </c>
      <c r="I2" s="243"/>
      <c r="J2" s="243"/>
      <c r="K2" s="4"/>
      <c r="L2" s="240" t="s">
        <v>16</v>
      </c>
    </row>
    <row r="3" spans="1:12" ht="13.5" customHeight="1">
      <c r="A3" s="228" t="s">
        <v>437</v>
      </c>
      <c r="B3" s="5"/>
      <c r="C3" s="172" t="s">
        <v>51</v>
      </c>
      <c r="D3" s="5" t="s">
        <v>25</v>
      </c>
      <c r="E3" s="246"/>
      <c r="F3" s="246"/>
      <c r="G3" s="6"/>
      <c r="H3" s="244"/>
      <c r="I3" s="244"/>
      <c r="J3" s="244"/>
      <c r="K3" s="7"/>
      <c r="L3" s="241"/>
    </row>
    <row r="4" spans="1:12" ht="15.75" customHeight="1">
      <c r="A4" s="229">
        <f>INT(VLOOKUP($E4,MatchTable!$A$3:$K$66,3)+1)</f>
        <v>41803</v>
      </c>
      <c r="B4" s="216" t="str">
        <f>TEXT(A4,"aaa")</f>
        <v>金</v>
      </c>
      <c r="C4" s="221">
        <f>VLOOKUP($E4,MatchTable!$A$3:$K$66,3)</f>
        <v>41802.708333333336</v>
      </c>
      <c r="D4" s="171">
        <f>VLOOKUP($E4,MatchTable!$A$3:$K$66,4)</f>
        <v>41803.208333333336</v>
      </c>
      <c r="E4" s="210">
        <v>1</v>
      </c>
      <c r="F4" s="211" t="str">
        <f>VLOOKUP($E4,MatchTable!$A$3:$K$66,2)</f>
        <v>A</v>
      </c>
      <c r="G4" s="212" t="str">
        <f>VLOOKUP($E4,MatchTable!$A$3:$K$66,5)</f>
        <v>Brazil</v>
      </c>
      <c r="H4" s="213">
        <v>3</v>
      </c>
      <c r="I4" s="207" t="s">
        <v>53</v>
      </c>
      <c r="J4" s="213">
        <v>1</v>
      </c>
      <c r="K4" s="214" t="str">
        <f>VLOOKUP($E4,MatchTable!$A$3:$K$66,7)</f>
        <v>Croatia</v>
      </c>
      <c r="L4" s="215" t="str">
        <f>VLOOKUP($E4,MatchTable!$A$3:$K$66,10)</f>
        <v>Sao Paulo</v>
      </c>
    </row>
    <row r="5" spans="1:12" ht="15.75" customHeight="1">
      <c r="A5" s="230">
        <f>INT(VLOOKUP($E5,MatchTable!$A$3:$K$66,3)+1)</f>
        <v>41804</v>
      </c>
      <c r="B5" s="217" t="str">
        <f aca="true" t="shared" si="0" ref="B5:B51">TEXT(A5,"aaa")</f>
        <v>土</v>
      </c>
      <c r="C5" s="221">
        <f>VLOOKUP($E5,MatchTable!$A$3:$K$66,3)</f>
        <v>41803.541666666664</v>
      </c>
      <c r="D5" s="171">
        <f>VLOOKUP($E5,MatchTable!$A$3:$K$66,4)</f>
        <v>41804.041666666664</v>
      </c>
      <c r="E5" s="210">
        <v>2</v>
      </c>
      <c r="F5" s="211" t="str">
        <f>VLOOKUP($E5,MatchTable!$A$3:$K$66,2)</f>
        <v>A</v>
      </c>
      <c r="G5" s="212" t="str">
        <f>VLOOKUP($E5,MatchTable!$A$3:$K$66,5)</f>
        <v>Mexico</v>
      </c>
      <c r="H5" s="213">
        <v>1</v>
      </c>
      <c r="I5" s="207" t="s">
        <v>53</v>
      </c>
      <c r="J5" s="213">
        <v>0</v>
      </c>
      <c r="K5" s="214" t="str">
        <f>VLOOKUP($E5,MatchTable!$A$3:$K$66,7)</f>
        <v>Cameroon</v>
      </c>
      <c r="L5" s="215" t="str">
        <f>VLOOKUP($E5,MatchTable!$A$3:$K$66,10)</f>
        <v>Natal</v>
      </c>
    </row>
    <row r="6" spans="1:12" ht="15.75" customHeight="1">
      <c r="A6" s="231">
        <f>INT(VLOOKUP($E6,MatchTable!$A$3:$K$66,3)+1)</f>
        <v>41804</v>
      </c>
      <c r="B6" s="218" t="str">
        <f t="shared" si="0"/>
        <v>土</v>
      </c>
      <c r="C6" s="221">
        <f>VLOOKUP($E6,MatchTable!$A$3:$K$66,3)</f>
        <v>41803.666666666664</v>
      </c>
      <c r="D6" s="171">
        <f>VLOOKUP($E6,MatchTable!$A$3:$K$66,4)</f>
        <v>41804.166666666664</v>
      </c>
      <c r="E6" s="210">
        <v>3</v>
      </c>
      <c r="F6" s="211" t="str">
        <f>VLOOKUP($E6,MatchTable!$A$3:$K$66,2)</f>
        <v>B</v>
      </c>
      <c r="G6" s="212" t="str">
        <f>VLOOKUP($E6,MatchTable!$A$3:$K$66,5)</f>
        <v>Spain</v>
      </c>
      <c r="H6" s="213">
        <v>1</v>
      </c>
      <c r="I6" s="207" t="s">
        <v>53</v>
      </c>
      <c r="J6" s="213">
        <v>5</v>
      </c>
      <c r="K6" s="214" t="str">
        <f>VLOOKUP($E6,MatchTable!$A$3:$K$66,7)</f>
        <v>Netherlands</v>
      </c>
      <c r="L6" s="215" t="str">
        <f>VLOOKUP($E6,MatchTable!$A$3:$K$66,10)</f>
        <v>Salvador</v>
      </c>
    </row>
    <row r="7" spans="1:12" ht="15.75" customHeight="1">
      <c r="A7" s="232">
        <f>INT(VLOOKUP($E7,MatchTable!$A$3:$K$66,3)+1)</f>
        <v>41804</v>
      </c>
      <c r="B7" s="219" t="str">
        <f t="shared" si="0"/>
        <v>土</v>
      </c>
      <c r="C7" s="221">
        <f>VLOOKUP($E7,MatchTable!$A$3:$K$66,3)</f>
        <v>41803.75</v>
      </c>
      <c r="D7" s="171">
        <f>VLOOKUP($E7,MatchTable!$A$3:$K$66,4)</f>
        <v>41804.291666666664</v>
      </c>
      <c r="E7" s="210">
        <v>4</v>
      </c>
      <c r="F7" s="211" t="str">
        <f>VLOOKUP($E7,MatchTable!$A$3:$K$66,2)</f>
        <v>B</v>
      </c>
      <c r="G7" s="212" t="str">
        <f>VLOOKUP($E7,MatchTable!$A$3:$K$66,5)</f>
        <v>Chile</v>
      </c>
      <c r="H7" s="213">
        <v>3</v>
      </c>
      <c r="I7" s="207" t="s">
        <v>53</v>
      </c>
      <c r="J7" s="213">
        <v>1</v>
      </c>
      <c r="K7" s="214" t="str">
        <f>VLOOKUP($E7,MatchTable!$A$3:$K$66,7)</f>
        <v>Australia</v>
      </c>
      <c r="L7" s="215" t="str">
        <f>VLOOKUP($E7,MatchTable!$A$3:$K$66,10)</f>
        <v>Cuiaba</v>
      </c>
    </row>
    <row r="8" spans="1:12" ht="15.75" customHeight="1">
      <c r="A8" s="230">
        <f>INT(VLOOKUP($E8,MatchTable!$A$3:$K$66,3)+1)</f>
        <v>41805</v>
      </c>
      <c r="B8" s="217" t="str">
        <f t="shared" si="0"/>
        <v>日</v>
      </c>
      <c r="C8" s="221">
        <f>VLOOKUP($E8,MatchTable!$A$3:$K$66,3)</f>
        <v>41804.541666666664</v>
      </c>
      <c r="D8" s="171">
        <f>VLOOKUP($E8,MatchTable!$A$3:$K$66,4)</f>
        <v>41805.041666666664</v>
      </c>
      <c r="E8" s="210">
        <v>5</v>
      </c>
      <c r="F8" s="211" t="str">
        <f>VLOOKUP($E8,MatchTable!$A$3:$K$66,2)</f>
        <v>C</v>
      </c>
      <c r="G8" s="212" t="str">
        <f>VLOOKUP($E8,MatchTable!$A$3:$K$66,5)</f>
        <v>Colombia</v>
      </c>
      <c r="H8" s="213">
        <v>3</v>
      </c>
      <c r="I8" s="207" t="s">
        <v>53</v>
      </c>
      <c r="J8" s="213">
        <v>0</v>
      </c>
      <c r="K8" s="214" t="str">
        <f>VLOOKUP($E8,MatchTable!$A$3:$K$66,7)</f>
        <v>Greece</v>
      </c>
      <c r="L8" s="215" t="str">
        <f>VLOOKUP($E8,MatchTable!$A$3:$K$66,10)</f>
        <v>Belo Horizonte</v>
      </c>
    </row>
    <row r="9" spans="1:12" ht="15.75" customHeight="1">
      <c r="A9" s="231">
        <f>INT(VLOOKUP($E9,MatchTable!$A$3:$K$66,3)+1)</f>
        <v>41805</v>
      </c>
      <c r="B9" s="218" t="str">
        <f t="shared" si="0"/>
        <v>日</v>
      </c>
      <c r="C9" s="221">
        <f>VLOOKUP($E9,MatchTable!$A$3:$K$66,3)</f>
        <v>41804.666666666664</v>
      </c>
      <c r="D9" s="171">
        <f>VLOOKUP($E9,MatchTable!$A$3:$K$66,4)</f>
        <v>41805.166666666664</v>
      </c>
      <c r="E9" s="210">
        <v>7</v>
      </c>
      <c r="F9" s="211" t="str">
        <f>VLOOKUP($E9,MatchTable!$A$3:$K$66,2)</f>
        <v>D</v>
      </c>
      <c r="G9" s="212" t="str">
        <f>VLOOKUP($E9,MatchTable!$A$3:$K$66,5)</f>
        <v>Urguay</v>
      </c>
      <c r="H9" s="213">
        <v>1</v>
      </c>
      <c r="I9" s="207" t="s">
        <v>53</v>
      </c>
      <c r="J9" s="213">
        <v>3</v>
      </c>
      <c r="K9" s="214" t="str">
        <f>VLOOKUP($E9,MatchTable!$A$3:$K$66,7)</f>
        <v>Costa Rica</v>
      </c>
      <c r="L9" s="215" t="str">
        <f>VLOOKUP($E9,MatchTable!$A$3:$K$66,10)</f>
        <v>Curitiba</v>
      </c>
    </row>
    <row r="10" spans="1:12" ht="15.75" customHeight="1">
      <c r="A10" s="231">
        <f>INT(VLOOKUP($E10,MatchTable!$A$3:$K$66,3)+1)</f>
        <v>41805</v>
      </c>
      <c r="B10" s="218" t="str">
        <f t="shared" si="0"/>
        <v>日</v>
      </c>
      <c r="C10" s="221">
        <f>VLOOKUP($E10,MatchTable!$A$3:$K$66,3)</f>
        <v>41804.75</v>
      </c>
      <c r="D10" s="171">
        <f>VLOOKUP($E10,MatchTable!$A$3:$K$66,4)</f>
        <v>41805.291666666664</v>
      </c>
      <c r="E10" s="210">
        <v>8</v>
      </c>
      <c r="F10" s="211" t="str">
        <f>VLOOKUP($E10,MatchTable!$A$3:$K$66,2)</f>
        <v>D</v>
      </c>
      <c r="G10" s="212" t="str">
        <f>VLOOKUP($E10,MatchTable!$A$3:$K$66,5)</f>
        <v>England</v>
      </c>
      <c r="H10" s="213">
        <v>1</v>
      </c>
      <c r="I10" s="207" t="s">
        <v>53</v>
      </c>
      <c r="J10" s="213">
        <v>3</v>
      </c>
      <c r="K10" s="214" t="str">
        <f>VLOOKUP($E10,MatchTable!$A$3:$K$66,7)</f>
        <v>Italy</v>
      </c>
      <c r="L10" s="215" t="str">
        <f>VLOOKUP($E10,MatchTable!$A$3:$K$66,10)</f>
        <v>Manaus</v>
      </c>
    </row>
    <row r="11" spans="1:12" ht="15.75" customHeight="1">
      <c r="A11" s="232">
        <f>INT(VLOOKUP($E11,MatchTable!$A$3:$K$66,3)+1)</f>
        <v>41805</v>
      </c>
      <c r="B11" s="219" t="str">
        <f t="shared" si="0"/>
        <v>日</v>
      </c>
      <c r="C11" s="221">
        <f>VLOOKUP($E11,MatchTable!$A$3:$K$66,3)</f>
        <v>41804.916666666664</v>
      </c>
      <c r="D11" s="171">
        <f>VLOOKUP($E11,MatchTable!$A$3:$K$66,4)</f>
        <v>41805.416666666664</v>
      </c>
      <c r="E11" s="210">
        <v>6</v>
      </c>
      <c r="F11" s="211" t="str">
        <f>VLOOKUP($E11,MatchTable!$A$3:$K$66,2)</f>
        <v>C</v>
      </c>
      <c r="G11" s="212" t="str">
        <f>VLOOKUP($E11,MatchTable!$A$3:$K$66,5)</f>
        <v>Co^te d'Ivoire</v>
      </c>
      <c r="H11" s="213">
        <v>2</v>
      </c>
      <c r="I11" s="207" t="s">
        <v>53</v>
      </c>
      <c r="J11" s="213">
        <v>1</v>
      </c>
      <c r="K11" s="214" t="str">
        <f>VLOOKUP($E11,MatchTable!$A$3:$K$66,7)</f>
        <v>Japan</v>
      </c>
      <c r="L11" s="215" t="str">
        <f>VLOOKUP($E11,MatchTable!$A$3:$K$66,10)</f>
        <v>Recife</v>
      </c>
    </row>
    <row r="12" spans="1:12" ht="15.75" customHeight="1">
      <c r="A12" s="230">
        <f>INT(VLOOKUP($E12,MatchTable!$A$3:$K$66,3)+1)</f>
        <v>41806</v>
      </c>
      <c r="B12" s="217" t="str">
        <f t="shared" si="0"/>
        <v>月</v>
      </c>
      <c r="C12" s="221">
        <f>VLOOKUP($E12,MatchTable!$A$3:$K$66,3)</f>
        <v>41805.541666666664</v>
      </c>
      <c r="D12" s="171">
        <f>VLOOKUP($E12,MatchTable!$A$3:$K$66,4)</f>
        <v>41806.041666666664</v>
      </c>
      <c r="E12" s="210">
        <v>9</v>
      </c>
      <c r="F12" s="211" t="str">
        <f>VLOOKUP($E12,MatchTable!$A$3:$K$66,2)</f>
        <v>E</v>
      </c>
      <c r="G12" s="212" t="str">
        <f>VLOOKUP($E12,MatchTable!$A$3:$K$66,5)</f>
        <v>Switzerland</v>
      </c>
      <c r="H12" s="213"/>
      <c r="I12" s="207" t="s">
        <v>53</v>
      </c>
      <c r="J12" s="213"/>
      <c r="K12" s="214" t="str">
        <f>VLOOKUP($E12,MatchTable!$A$3:$K$66,7)</f>
        <v>Ecuador</v>
      </c>
      <c r="L12" s="215" t="str">
        <f>VLOOKUP($E12,MatchTable!$A$3:$K$66,10)</f>
        <v>Brasilia</v>
      </c>
    </row>
    <row r="13" spans="1:12" ht="15.75" customHeight="1">
      <c r="A13" s="231">
        <f>INT(VLOOKUP($E13,MatchTable!$A$3:$K$66,3)+1)</f>
        <v>41806</v>
      </c>
      <c r="B13" s="218" t="str">
        <f t="shared" si="0"/>
        <v>月</v>
      </c>
      <c r="C13" s="221">
        <f>VLOOKUP($E13,MatchTable!$A$3:$K$66,3)</f>
        <v>41805.666666666664</v>
      </c>
      <c r="D13" s="171">
        <f>VLOOKUP($E13,MatchTable!$A$3:$K$66,4)</f>
        <v>41806.166666666664</v>
      </c>
      <c r="E13" s="210">
        <v>10</v>
      </c>
      <c r="F13" s="211" t="str">
        <f>VLOOKUP($E13,MatchTable!$A$3:$K$66,2)</f>
        <v>E</v>
      </c>
      <c r="G13" s="212" t="str">
        <f>VLOOKUP($E13,MatchTable!$A$3:$K$66,5)</f>
        <v>France</v>
      </c>
      <c r="H13" s="213"/>
      <c r="I13" s="207" t="s">
        <v>53</v>
      </c>
      <c r="J13" s="213"/>
      <c r="K13" s="214" t="str">
        <f>VLOOKUP($E13,MatchTable!$A$3:$K$66,7)</f>
        <v>Honduras</v>
      </c>
      <c r="L13" s="215" t="str">
        <f>VLOOKUP($E13,MatchTable!$A$3:$K$66,10)</f>
        <v>Porto Alegre</v>
      </c>
    </row>
    <row r="14" spans="1:12" ht="15.75" customHeight="1">
      <c r="A14" s="232">
        <f>INT(VLOOKUP($E14,MatchTable!$A$3:$K$66,3)+1)</f>
        <v>41806</v>
      </c>
      <c r="B14" s="219" t="str">
        <f t="shared" si="0"/>
        <v>月</v>
      </c>
      <c r="C14" s="221">
        <f>VLOOKUP($E14,MatchTable!$A$3:$K$66,3)</f>
        <v>41805.791666666664</v>
      </c>
      <c r="D14" s="171">
        <f>VLOOKUP($E14,MatchTable!$A$3:$K$66,4)</f>
        <v>41806.291666666664</v>
      </c>
      <c r="E14" s="210">
        <v>11</v>
      </c>
      <c r="F14" s="211" t="str">
        <f>VLOOKUP($E14,MatchTable!$A$3:$K$66,2)</f>
        <v>F</v>
      </c>
      <c r="G14" s="212" t="str">
        <f>VLOOKUP($E14,MatchTable!$A$3:$K$66,5)</f>
        <v>Argentina</v>
      </c>
      <c r="H14" s="213"/>
      <c r="I14" s="207" t="s">
        <v>53</v>
      </c>
      <c r="J14" s="213"/>
      <c r="K14" s="214" t="str">
        <f>VLOOKUP($E14,MatchTable!$A$3:$K$66,7)</f>
        <v>Bosnia-Herzegovina</v>
      </c>
      <c r="L14" s="215" t="str">
        <f>VLOOKUP($E14,MatchTable!$A$3:$K$66,10)</f>
        <v>Rio de Janeiro</v>
      </c>
    </row>
    <row r="15" spans="1:12" ht="15.75" customHeight="1">
      <c r="A15" s="230">
        <f>INT(VLOOKUP($E15,MatchTable!$A$3:$K$66,3)+1)</f>
        <v>41807</v>
      </c>
      <c r="B15" s="217" t="str">
        <f t="shared" si="0"/>
        <v>火</v>
      </c>
      <c r="C15" s="221">
        <f>VLOOKUP($E15,MatchTable!$A$3:$K$66,3)</f>
        <v>41806.541666666664</v>
      </c>
      <c r="D15" s="171">
        <f>VLOOKUP($E15,MatchTable!$A$3:$K$66,4)</f>
        <v>41807.041666666664</v>
      </c>
      <c r="E15" s="210">
        <v>13</v>
      </c>
      <c r="F15" s="211" t="str">
        <f>VLOOKUP($E15,MatchTable!$A$3:$K$66,2)</f>
        <v>G</v>
      </c>
      <c r="G15" s="212" t="str">
        <f>VLOOKUP($E15,MatchTable!$A$3:$K$66,5)</f>
        <v>Germany</v>
      </c>
      <c r="H15" s="213"/>
      <c r="I15" s="207" t="s">
        <v>53</v>
      </c>
      <c r="J15" s="213"/>
      <c r="K15" s="214" t="str">
        <f>VLOOKUP($E15,MatchTable!$A$3:$K$66,7)</f>
        <v>Portugal</v>
      </c>
      <c r="L15" s="215" t="str">
        <f>VLOOKUP($E15,MatchTable!$A$3:$K$66,10)</f>
        <v>Salvador</v>
      </c>
    </row>
    <row r="16" spans="1:12" ht="15.75" customHeight="1">
      <c r="A16" s="231">
        <f>INT(VLOOKUP($E16,MatchTable!$A$3:$K$66,3)+1)</f>
        <v>41807</v>
      </c>
      <c r="B16" s="218" t="str">
        <f t="shared" si="0"/>
        <v>火</v>
      </c>
      <c r="C16" s="221">
        <f>VLOOKUP($E16,MatchTable!$A$3:$K$66,3)</f>
        <v>41806.666666666664</v>
      </c>
      <c r="D16" s="171">
        <f>VLOOKUP($E16,MatchTable!$A$3:$K$66,4)</f>
        <v>41807.166666666664</v>
      </c>
      <c r="E16" s="210">
        <v>12</v>
      </c>
      <c r="F16" s="211" t="str">
        <f>VLOOKUP($E16,MatchTable!$A$3:$K$66,2)</f>
        <v>F</v>
      </c>
      <c r="G16" s="212" t="str">
        <f>VLOOKUP($E16,MatchTable!$A$3:$K$66,5)</f>
        <v>Iran</v>
      </c>
      <c r="H16" s="213"/>
      <c r="I16" s="207" t="s">
        <v>53</v>
      </c>
      <c r="J16" s="213"/>
      <c r="K16" s="214" t="str">
        <f>VLOOKUP($E16,MatchTable!$A$3:$K$66,7)</f>
        <v>Nigeria</v>
      </c>
      <c r="L16" s="215" t="str">
        <f>VLOOKUP($E16,MatchTable!$A$3:$K$66,10)</f>
        <v>Curitiba</v>
      </c>
    </row>
    <row r="17" spans="1:12" ht="15.75" customHeight="1">
      <c r="A17" s="232">
        <f>INT(VLOOKUP($E17,MatchTable!$A$3:$K$66,3)+1)</f>
        <v>41807</v>
      </c>
      <c r="B17" s="219" t="str">
        <f t="shared" si="0"/>
        <v>火</v>
      </c>
      <c r="C17" s="221">
        <f>VLOOKUP($E17,MatchTable!$A$3:$K$66,3)</f>
        <v>41806.75</v>
      </c>
      <c r="D17" s="171">
        <f>VLOOKUP($E17,MatchTable!$A$3:$K$66,4)</f>
        <v>41807.25</v>
      </c>
      <c r="E17" s="210">
        <v>14</v>
      </c>
      <c r="F17" s="211" t="str">
        <f>VLOOKUP($E17,MatchTable!$A$3:$K$66,2)</f>
        <v>G</v>
      </c>
      <c r="G17" s="212" t="str">
        <f>VLOOKUP($E17,MatchTable!$A$3:$K$66,5)</f>
        <v>Ghana</v>
      </c>
      <c r="H17" s="213"/>
      <c r="I17" s="207" t="s">
        <v>53</v>
      </c>
      <c r="J17" s="213"/>
      <c r="K17" s="214" t="str">
        <f>VLOOKUP($E17,MatchTable!$A$3:$K$66,7)</f>
        <v>USA</v>
      </c>
      <c r="L17" s="215" t="str">
        <f>VLOOKUP($E17,MatchTable!$A$3:$K$66,10)</f>
        <v>Natal</v>
      </c>
    </row>
    <row r="18" spans="1:12" ht="15.75" customHeight="1">
      <c r="A18" s="230">
        <f>INT(VLOOKUP($E18,MatchTable!$A$3:$K$66,3)+1)</f>
        <v>41808</v>
      </c>
      <c r="B18" s="217" t="str">
        <f t="shared" si="0"/>
        <v>水</v>
      </c>
      <c r="C18" s="221">
        <f>VLOOKUP($E18,MatchTable!$A$3:$K$66,3)</f>
        <v>41807.541666666664</v>
      </c>
      <c r="D18" s="171">
        <f>VLOOKUP($E18,MatchTable!$A$3:$K$66,4)</f>
        <v>41808.041666666664</v>
      </c>
      <c r="E18" s="210">
        <v>15</v>
      </c>
      <c r="F18" s="211" t="str">
        <f>VLOOKUP($E18,MatchTable!$A$3:$K$66,2)</f>
        <v>H</v>
      </c>
      <c r="G18" s="212" t="str">
        <f>VLOOKUP($E18,MatchTable!$A$3:$K$66,5)</f>
        <v>Belgium</v>
      </c>
      <c r="H18" s="213"/>
      <c r="I18" s="207" t="s">
        <v>53</v>
      </c>
      <c r="J18" s="213"/>
      <c r="K18" s="214" t="str">
        <f>VLOOKUP($E18,MatchTable!$A$3:$K$66,7)</f>
        <v>Algeria</v>
      </c>
      <c r="L18" s="215" t="str">
        <f>VLOOKUP($E18,MatchTable!$A$3:$K$66,10)</f>
        <v>Belo Horizonte</v>
      </c>
    </row>
    <row r="19" spans="1:12" ht="15.75" customHeight="1">
      <c r="A19" s="231">
        <f>INT(VLOOKUP($E19,MatchTable!$A$3:$K$66,3)+1)</f>
        <v>41808</v>
      </c>
      <c r="B19" s="218" t="str">
        <f t="shared" si="0"/>
        <v>水</v>
      </c>
      <c r="C19" s="221">
        <f>VLOOKUP($E19,MatchTable!$A$3:$K$66,3)</f>
        <v>41807.666666666664</v>
      </c>
      <c r="D19" s="171">
        <f>VLOOKUP($E19,MatchTable!$A$3:$K$66,4)</f>
        <v>41808.166666666664</v>
      </c>
      <c r="E19" s="210">
        <v>17</v>
      </c>
      <c r="F19" s="211" t="str">
        <f>VLOOKUP($E19,MatchTable!$A$3:$K$66,2)</f>
        <v>A</v>
      </c>
      <c r="G19" s="212" t="str">
        <f>VLOOKUP($E19,MatchTable!$A$3:$K$66,5)</f>
        <v>Brazil</v>
      </c>
      <c r="H19" s="213"/>
      <c r="I19" s="207" t="s">
        <v>53</v>
      </c>
      <c r="J19" s="213"/>
      <c r="K19" s="214" t="str">
        <f>VLOOKUP($E19,MatchTable!$A$3:$K$66,7)</f>
        <v>Mexico</v>
      </c>
      <c r="L19" s="215" t="str">
        <f>VLOOKUP($E19,MatchTable!$A$3:$K$66,10)</f>
        <v>Fortaleza</v>
      </c>
    </row>
    <row r="20" spans="1:12" ht="15.75" customHeight="1">
      <c r="A20" s="232">
        <f>INT(VLOOKUP($E20,MatchTable!$A$3:$K$66,3)+1)</f>
        <v>41808</v>
      </c>
      <c r="B20" s="219" t="str">
        <f t="shared" si="0"/>
        <v>水</v>
      </c>
      <c r="C20" s="221">
        <f>VLOOKUP($E20,MatchTable!$A$3:$K$66,3)</f>
        <v>41807.75</v>
      </c>
      <c r="D20" s="171">
        <f>VLOOKUP($E20,MatchTable!$A$3:$K$66,4)</f>
        <v>41808.291666666664</v>
      </c>
      <c r="E20" s="210">
        <v>16</v>
      </c>
      <c r="F20" s="211" t="str">
        <f>VLOOKUP($E20,MatchTable!$A$3:$K$66,2)</f>
        <v>H</v>
      </c>
      <c r="G20" s="212" t="str">
        <f>VLOOKUP($E20,MatchTable!$A$3:$K$66,5)</f>
        <v>Russia</v>
      </c>
      <c r="H20" s="213"/>
      <c r="I20" s="207" t="s">
        <v>53</v>
      </c>
      <c r="J20" s="213"/>
      <c r="K20" s="214" t="str">
        <f>VLOOKUP($E20,MatchTable!$A$3:$K$66,7)</f>
        <v>Korea Republic</v>
      </c>
      <c r="L20" s="215" t="str">
        <f>VLOOKUP($E20,MatchTable!$A$3:$K$66,10)</f>
        <v>Cuiaba</v>
      </c>
    </row>
    <row r="21" spans="1:12" ht="15.75" customHeight="1">
      <c r="A21" s="230">
        <f>INT(VLOOKUP($E21,MatchTable!$A$3:$K$66,3)+1)</f>
        <v>41809</v>
      </c>
      <c r="B21" s="217" t="str">
        <f t="shared" si="0"/>
        <v>木</v>
      </c>
      <c r="C21" s="221">
        <f>VLOOKUP($E21,MatchTable!$A$3:$K$66,3)</f>
        <v>41808.541666666664</v>
      </c>
      <c r="D21" s="171">
        <f>VLOOKUP($E21,MatchTable!$A$3:$K$66,4)</f>
        <v>41809.041666666664</v>
      </c>
      <c r="E21" s="210">
        <v>20</v>
      </c>
      <c r="F21" s="211" t="str">
        <f>VLOOKUP($E21,MatchTable!$A$3:$K$66,2)</f>
        <v>B</v>
      </c>
      <c r="G21" s="212" t="str">
        <f>VLOOKUP($E21,MatchTable!$A$3:$K$66,5)</f>
        <v>Australia</v>
      </c>
      <c r="H21" s="213"/>
      <c r="I21" s="207" t="s">
        <v>53</v>
      </c>
      <c r="J21" s="213"/>
      <c r="K21" s="214" t="str">
        <f>VLOOKUP($E21,MatchTable!$A$3:$K$66,7)</f>
        <v>Netherlands</v>
      </c>
      <c r="L21" s="215" t="str">
        <f>VLOOKUP($E21,MatchTable!$A$3:$K$66,10)</f>
        <v>Porto Alegre</v>
      </c>
    </row>
    <row r="22" spans="1:12" ht="15.75" customHeight="1">
      <c r="A22" s="231">
        <f>INT(VLOOKUP($E22,MatchTable!$A$3:$K$66,3)+1)</f>
        <v>41809</v>
      </c>
      <c r="B22" s="218" t="str">
        <f t="shared" si="0"/>
        <v>木</v>
      </c>
      <c r="C22" s="221">
        <f>VLOOKUP($E22,MatchTable!$A$3:$K$66,3)</f>
        <v>41808.666666666664</v>
      </c>
      <c r="D22" s="171">
        <f>VLOOKUP($E22,MatchTable!$A$3:$K$66,4)</f>
        <v>41809.166666666664</v>
      </c>
      <c r="E22" s="210">
        <v>19</v>
      </c>
      <c r="F22" s="211" t="str">
        <f>VLOOKUP($E22,MatchTable!$A$3:$K$66,2)</f>
        <v>B</v>
      </c>
      <c r="G22" s="212" t="str">
        <f>VLOOKUP($E22,MatchTable!$A$3:$K$66,5)</f>
        <v>Spain</v>
      </c>
      <c r="H22" s="213"/>
      <c r="I22" s="207" t="s">
        <v>53</v>
      </c>
      <c r="J22" s="213"/>
      <c r="K22" s="214" t="str">
        <f>VLOOKUP($E22,MatchTable!$A$3:$K$66,7)</f>
        <v>Chile</v>
      </c>
      <c r="L22" s="215" t="str">
        <f>VLOOKUP($E22,MatchTable!$A$3:$K$66,10)</f>
        <v>Rio de Janeiro</v>
      </c>
    </row>
    <row r="23" spans="1:12" ht="15.75" customHeight="1">
      <c r="A23" s="232">
        <f>INT(VLOOKUP($E23,MatchTable!$A$3:$K$66,3)+1)</f>
        <v>41809</v>
      </c>
      <c r="B23" s="219" t="str">
        <f t="shared" si="0"/>
        <v>木</v>
      </c>
      <c r="C23" s="221">
        <f>VLOOKUP($E23,MatchTable!$A$3:$K$66,3)</f>
        <v>41808.75</v>
      </c>
      <c r="D23" s="171">
        <f>VLOOKUP($E23,MatchTable!$A$3:$K$66,4)</f>
        <v>41809.291666666664</v>
      </c>
      <c r="E23" s="210">
        <v>18</v>
      </c>
      <c r="F23" s="211" t="str">
        <f>VLOOKUP($E23,MatchTable!$A$3:$K$66,2)</f>
        <v>A</v>
      </c>
      <c r="G23" s="212" t="str">
        <f>VLOOKUP($E23,MatchTable!$A$3:$K$66,5)</f>
        <v>Cameroon</v>
      </c>
      <c r="H23" s="213"/>
      <c r="I23" s="207" t="s">
        <v>53</v>
      </c>
      <c r="J23" s="213"/>
      <c r="K23" s="214" t="str">
        <f>VLOOKUP($E23,MatchTable!$A$3:$K$66,7)</f>
        <v>Croatia</v>
      </c>
      <c r="L23" s="215" t="str">
        <f>VLOOKUP($E23,MatchTable!$A$3:$K$66,10)</f>
        <v>Manaus</v>
      </c>
    </row>
    <row r="24" spans="1:12" ht="15.75" customHeight="1">
      <c r="A24" s="230">
        <f>INT(VLOOKUP($E24,MatchTable!$A$3:$K$66,3)+1)</f>
        <v>41810</v>
      </c>
      <c r="B24" s="217" t="str">
        <f t="shared" si="0"/>
        <v>金</v>
      </c>
      <c r="C24" s="221">
        <f>VLOOKUP($E24,MatchTable!$A$3:$K$66,3)</f>
        <v>41809.541666666664</v>
      </c>
      <c r="D24" s="171">
        <f>VLOOKUP($E24,MatchTable!$A$3:$K$66,4)</f>
        <v>41810.041666666664</v>
      </c>
      <c r="E24" s="210">
        <v>21</v>
      </c>
      <c r="F24" s="211" t="str">
        <f>VLOOKUP($E24,MatchTable!$A$3:$K$66,2)</f>
        <v>C</v>
      </c>
      <c r="G24" s="212" t="str">
        <f>VLOOKUP($E24,MatchTable!$A$3:$K$66,5)</f>
        <v>Colombia</v>
      </c>
      <c r="H24" s="213"/>
      <c r="I24" s="207" t="s">
        <v>53</v>
      </c>
      <c r="J24" s="213"/>
      <c r="K24" s="214" t="str">
        <f>VLOOKUP($E24,MatchTable!$A$3:$K$66,7)</f>
        <v>Co^te d'Ivoire</v>
      </c>
      <c r="L24" s="215" t="str">
        <f>VLOOKUP($E24,MatchTable!$A$3:$K$66,10)</f>
        <v>Brasilia</v>
      </c>
    </row>
    <row r="25" spans="1:12" ht="15.75" customHeight="1">
      <c r="A25" s="231">
        <f>INT(VLOOKUP($E25,MatchTable!$A$3:$K$66,3)+1)</f>
        <v>41810</v>
      </c>
      <c r="B25" s="218" t="str">
        <f t="shared" si="0"/>
        <v>金</v>
      </c>
      <c r="C25" s="221">
        <f>VLOOKUP($E25,MatchTable!$A$3:$K$66,3)</f>
        <v>41809.666666666664</v>
      </c>
      <c r="D25" s="171">
        <f>VLOOKUP($E25,MatchTable!$A$3:$K$66,4)</f>
        <v>41810.166666666664</v>
      </c>
      <c r="E25" s="210">
        <v>23</v>
      </c>
      <c r="F25" s="211" t="str">
        <f>VLOOKUP($E25,MatchTable!$A$3:$K$66,2)</f>
        <v>D</v>
      </c>
      <c r="G25" s="212" t="str">
        <f>VLOOKUP($E25,MatchTable!$A$3:$K$66,5)</f>
        <v>Urguay</v>
      </c>
      <c r="H25" s="213"/>
      <c r="I25" s="207" t="s">
        <v>53</v>
      </c>
      <c r="J25" s="213"/>
      <c r="K25" s="214" t="str">
        <f>VLOOKUP($E25,MatchTable!$A$3:$K$66,7)</f>
        <v>England</v>
      </c>
      <c r="L25" s="215" t="str">
        <f>VLOOKUP($E25,MatchTable!$A$3:$K$66,10)</f>
        <v>Sao Paulo</v>
      </c>
    </row>
    <row r="26" spans="1:12" ht="15.75" customHeight="1">
      <c r="A26" s="232">
        <f>INT(VLOOKUP($E26,MatchTable!$A$3:$K$66,3)+1)</f>
        <v>41810</v>
      </c>
      <c r="B26" s="219" t="str">
        <f t="shared" si="0"/>
        <v>金</v>
      </c>
      <c r="C26" s="221">
        <f>VLOOKUP($E26,MatchTable!$A$3:$K$66,3)</f>
        <v>41809.791666666664</v>
      </c>
      <c r="D26" s="171">
        <f>VLOOKUP($E26,MatchTable!$A$3:$K$66,4)</f>
        <v>41810.291666666664</v>
      </c>
      <c r="E26" s="210">
        <v>22</v>
      </c>
      <c r="F26" s="211" t="str">
        <f>VLOOKUP($E26,MatchTable!$A$3:$K$66,2)</f>
        <v>C</v>
      </c>
      <c r="G26" s="212" t="str">
        <f>VLOOKUP($E26,MatchTable!$A$3:$K$66,5)</f>
        <v>Japan</v>
      </c>
      <c r="H26" s="213"/>
      <c r="I26" s="207" t="s">
        <v>53</v>
      </c>
      <c r="J26" s="213"/>
      <c r="K26" s="214" t="str">
        <f>VLOOKUP($E26,MatchTable!$A$3:$K$66,7)</f>
        <v>Greece</v>
      </c>
      <c r="L26" s="215" t="str">
        <f>VLOOKUP($E26,MatchTable!$A$3:$K$66,10)</f>
        <v>Natal</v>
      </c>
    </row>
    <row r="27" spans="1:12" ht="15.75" customHeight="1">
      <c r="A27" s="230">
        <f>INT(VLOOKUP($E27,MatchTable!$A$3:$K$66,3)+1)</f>
        <v>41811</v>
      </c>
      <c r="B27" s="217" t="str">
        <f t="shared" si="0"/>
        <v>土</v>
      </c>
      <c r="C27" s="221">
        <f>VLOOKUP($E27,MatchTable!$A$3:$K$66,3)</f>
        <v>41810.541666666664</v>
      </c>
      <c r="D27" s="171">
        <f>VLOOKUP($E27,MatchTable!$A$3:$K$66,4)</f>
        <v>41811.041666666664</v>
      </c>
      <c r="E27" s="210">
        <v>24</v>
      </c>
      <c r="F27" s="211" t="str">
        <f>VLOOKUP($E27,MatchTable!$A$3:$K$66,2)</f>
        <v>D</v>
      </c>
      <c r="G27" s="212" t="str">
        <f>VLOOKUP($E27,MatchTable!$A$3:$K$66,5)</f>
        <v>Italy</v>
      </c>
      <c r="H27" s="213"/>
      <c r="I27" s="207" t="s">
        <v>53</v>
      </c>
      <c r="J27" s="213"/>
      <c r="K27" s="214" t="str">
        <f>VLOOKUP($E27,MatchTable!$A$3:$K$66,7)</f>
        <v>Costa Rica</v>
      </c>
      <c r="L27" s="215" t="str">
        <f>VLOOKUP($E27,MatchTable!$A$3:$K$66,10)</f>
        <v>Recife</v>
      </c>
    </row>
    <row r="28" spans="1:12" ht="15.75" customHeight="1">
      <c r="A28" s="231">
        <f>INT(VLOOKUP($E28,MatchTable!$A$3:$K$66,3)+1)</f>
        <v>41811</v>
      </c>
      <c r="B28" s="218" t="str">
        <f t="shared" si="0"/>
        <v>土</v>
      </c>
      <c r="C28" s="221">
        <f>VLOOKUP($E28,MatchTable!$A$3:$K$66,3)</f>
        <v>41810.666666666664</v>
      </c>
      <c r="D28" s="171">
        <f>VLOOKUP($E28,MatchTable!$A$3:$K$66,4)</f>
        <v>41811.166666666664</v>
      </c>
      <c r="E28" s="210">
        <v>25</v>
      </c>
      <c r="F28" s="211" t="str">
        <f>VLOOKUP($E28,MatchTable!$A$3:$K$66,2)</f>
        <v>E</v>
      </c>
      <c r="G28" s="212" t="str">
        <f>VLOOKUP($E28,MatchTable!$A$3:$K$66,5)</f>
        <v>Switzerland</v>
      </c>
      <c r="H28" s="213"/>
      <c r="I28" s="207" t="s">
        <v>53</v>
      </c>
      <c r="J28" s="213"/>
      <c r="K28" s="214" t="str">
        <f>VLOOKUP($E28,MatchTable!$A$3:$K$66,7)</f>
        <v>France</v>
      </c>
      <c r="L28" s="215" t="str">
        <f>VLOOKUP($E28,MatchTable!$A$3:$K$66,10)</f>
        <v>Salvador</v>
      </c>
    </row>
    <row r="29" spans="1:12" ht="15.75" customHeight="1">
      <c r="A29" s="232">
        <f>INT(VLOOKUP($E29,MatchTable!$A$3:$K$66,3)+1)</f>
        <v>41811</v>
      </c>
      <c r="B29" s="219" t="str">
        <f t="shared" si="0"/>
        <v>土</v>
      </c>
      <c r="C29" s="221">
        <f>VLOOKUP($E29,MatchTable!$A$3:$K$66,3)</f>
        <v>41810.791666666664</v>
      </c>
      <c r="D29" s="171">
        <f>VLOOKUP($E29,MatchTable!$A$3:$K$66,4)</f>
        <v>41811.291666666664</v>
      </c>
      <c r="E29" s="210">
        <v>26</v>
      </c>
      <c r="F29" s="211" t="str">
        <f>VLOOKUP($E29,MatchTable!$A$3:$K$66,2)</f>
        <v>E</v>
      </c>
      <c r="G29" s="212" t="str">
        <f>VLOOKUP($E29,MatchTable!$A$3:$K$66,5)</f>
        <v>Honduras</v>
      </c>
      <c r="H29" s="213"/>
      <c r="I29" s="207" t="s">
        <v>53</v>
      </c>
      <c r="J29" s="213"/>
      <c r="K29" s="214" t="str">
        <f>VLOOKUP($E29,MatchTable!$A$3:$K$66,7)</f>
        <v>Ecuador</v>
      </c>
      <c r="L29" s="215" t="str">
        <f>VLOOKUP($E29,MatchTable!$A$3:$K$66,10)</f>
        <v>Curitiba</v>
      </c>
    </row>
    <row r="30" spans="1:12" ht="15.75" customHeight="1">
      <c r="A30" s="230">
        <f>INT(VLOOKUP($E30,MatchTable!$A$3:$K$66,3)+1)</f>
        <v>41812</v>
      </c>
      <c r="B30" s="217" t="str">
        <f t="shared" si="0"/>
        <v>日</v>
      </c>
      <c r="C30" s="221">
        <f>VLOOKUP($E30,MatchTable!$A$3:$K$66,3)</f>
        <v>41811.541666666664</v>
      </c>
      <c r="D30" s="171">
        <f>VLOOKUP($E30,MatchTable!$A$3:$K$66,4)</f>
        <v>41812.041666666664</v>
      </c>
      <c r="E30" s="210">
        <v>27</v>
      </c>
      <c r="F30" s="211" t="str">
        <f>VLOOKUP($E30,MatchTable!$A$3:$K$66,2)</f>
        <v>F</v>
      </c>
      <c r="G30" s="212" t="str">
        <f>VLOOKUP($E30,MatchTable!$A$3:$K$66,5)</f>
        <v>Argentina</v>
      </c>
      <c r="H30" s="213"/>
      <c r="I30" s="207" t="s">
        <v>53</v>
      </c>
      <c r="J30" s="213"/>
      <c r="K30" s="214" t="str">
        <f>VLOOKUP($E30,MatchTable!$A$3:$K$66,7)</f>
        <v>Iran</v>
      </c>
      <c r="L30" s="215" t="str">
        <f>VLOOKUP($E30,MatchTable!$A$3:$K$66,10)</f>
        <v>Belo Horizonte</v>
      </c>
    </row>
    <row r="31" spans="1:12" ht="15.75" customHeight="1">
      <c r="A31" s="231">
        <f>INT(VLOOKUP($E31,MatchTable!$A$3:$K$66,3)+1)</f>
        <v>41812</v>
      </c>
      <c r="B31" s="218" t="str">
        <f t="shared" si="0"/>
        <v>日</v>
      </c>
      <c r="C31" s="221">
        <f>VLOOKUP($E31,MatchTable!$A$3:$K$66,3)</f>
        <v>41811.666666666664</v>
      </c>
      <c r="D31" s="171">
        <f>VLOOKUP($E31,MatchTable!$A$3:$K$66,4)</f>
        <v>41812.166666666664</v>
      </c>
      <c r="E31" s="210">
        <v>29</v>
      </c>
      <c r="F31" s="211" t="str">
        <f>VLOOKUP($E31,MatchTable!$A$3:$K$66,2)</f>
        <v>G</v>
      </c>
      <c r="G31" s="212" t="str">
        <f>VLOOKUP($E31,MatchTable!$A$3:$K$66,5)</f>
        <v>Germany</v>
      </c>
      <c r="H31" s="213"/>
      <c r="I31" s="207" t="s">
        <v>53</v>
      </c>
      <c r="J31" s="213"/>
      <c r="K31" s="214" t="str">
        <f>VLOOKUP($E31,MatchTable!$A$3:$K$66,7)</f>
        <v>Ghana</v>
      </c>
      <c r="L31" s="215" t="str">
        <f>VLOOKUP($E31,MatchTable!$A$3:$K$66,10)</f>
        <v>Fortaleza</v>
      </c>
    </row>
    <row r="32" spans="1:12" ht="15.75" customHeight="1">
      <c r="A32" s="232">
        <f>INT(VLOOKUP($E32,MatchTable!$A$3:$K$66,3)+1)</f>
        <v>41812</v>
      </c>
      <c r="B32" s="219" t="str">
        <f t="shared" si="0"/>
        <v>日</v>
      </c>
      <c r="C32" s="221">
        <f>VLOOKUP($E32,MatchTable!$A$3:$K$66,3)</f>
        <v>41811.75</v>
      </c>
      <c r="D32" s="171">
        <f>VLOOKUP($E32,MatchTable!$A$3:$K$66,4)</f>
        <v>41812.291666666664</v>
      </c>
      <c r="E32" s="210">
        <v>28</v>
      </c>
      <c r="F32" s="211" t="str">
        <f>VLOOKUP($E32,MatchTable!$A$3:$K$66,2)</f>
        <v>F</v>
      </c>
      <c r="G32" s="212" t="str">
        <f>VLOOKUP($E32,MatchTable!$A$3:$K$66,5)</f>
        <v>Nigeria</v>
      </c>
      <c r="H32" s="213"/>
      <c r="I32" s="207" t="s">
        <v>53</v>
      </c>
      <c r="J32" s="213"/>
      <c r="K32" s="214" t="str">
        <f>VLOOKUP($E32,MatchTable!$A$3:$K$66,7)</f>
        <v>Bosnia-Herzegovina</v>
      </c>
      <c r="L32" s="215" t="str">
        <f>VLOOKUP($E32,MatchTable!$A$3:$K$66,10)</f>
        <v>Cuiaba</v>
      </c>
    </row>
    <row r="33" spans="1:12" ht="15.75" customHeight="1">
      <c r="A33" s="230">
        <f>INT(VLOOKUP($E33,MatchTable!$A$3:$K$66,3)+1)</f>
        <v>41813</v>
      </c>
      <c r="B33" s="217" t="str">
        <f t="shared" si="0"/>
        <v>月</v>
      </c>
      <c r="C33" s="221">
        <f>VLOOKUP($E33,MatchTable!$A$3:$K$66,3)</f>
        <v>41812.541666666664</v>
      </c>
      <c r="D33" s="171">
        <f>VLOOKUP($E33,MatchTable!$A$3:$K$66,4)</f>
        <v>41813.041666666664</v>
      </c>
      <c r="E33" s="210">
        <v>31</v>
      </c>
      <c r="F33" s="211" t="str">
        <f>VLOOKUP($E33,MatchTable!$A$3:$K$66,2)</f>
        <v>H</v>
      </c>
      <c r="G33" s="212" t="str">
        <f>VLOOKUP($E33,MatchTable!$A$3:$K$66,5)</f>
        <v>Belgium</v>
      </c>
      <c r="H33" s="213"/>
      <c r="I33" s="207" t="s">
        <v>53</v>
      </c>
      <c r="J33" s="213"/>
      <c r="K33" s="214" t="str">
        <f>VLOOKUP($E33,MatchTable!$A$3:$K$66,7)</f>
        <v>Russia</v>
      </c>
      <c r="L33" s="215" t="str">
        <f>VLOOKUP($E33,MatchTable!$A$3:$K$66,10)</f>
        <v>Rio de Janeiro</v>
      </c>
    </row>
    <row r="34" spans="1:12" ht="15.75" customHeight="1">
      <c r="A34" s="231">
        <f>INT(VLOOKUP($E34,MatchTable!$A$3:$K$66,3)+1)</f>
        <v>41813</v>
      </c>
      <c r="B34" s="218" t="str">
        <f t="shared" si="0"/>
        <v>月</v>
      </c>
      <c r="C34" s="221">
        <f>VLOOKUP($E34,MatchTable!$A$3:$K$66,3)</f>
        <v>41812.666666666664</v>
      </c>
      <c r="D34" s="171">
        <f>VLOOKUP($E34,MatchTable!$A$3:$K$66,4)</f>
        <v>41813.166666666664</v>
      </c>
      <c r="E34" s="210">
        <v>32</v>
      </c>
      <c r="F34" s="211" t="str">
        <f>VLOOKUP($E34,MatchTable!$A$3:$K$66,2)</f>
        <v>H</v>
      </c>
      <c r="G34" s="212" t="str">
        <f>VLOOKUP($E34,MatchTable!$A$3:$K$66,5)</f>
        <v>Korea Republic</v>
      </c>
      <c r="H34" s="213"/>
      <c r="I34" s="207" t="s">
        <v>53</v>
      </c>
      <c r="J34" s="213"/>
      <c r="K34" s="214" t="str">
        <f>VLOOKUP($E34,MatchTable!$A$3:$K$66,7)</f>
        <v>Algeria</v>
      </c>
      <c r="L34" s="215" t="str">
        <f>VLOOKUP($E34,MatchTable!$A$3:$K$66,10)</f>
        <v>Porto Alegre</v>
      </c>
    </row>
    <row r="35" spans="1:12" ht="15.75" customHeight="1">
      <c r="A35" s="232">
        <f>INT(VLOOKUP($E35,MatchTable!$A$3:$K$66,3)+1)</f>
        <v>41813</v>
      </c>
      <c r="B35" s="219" t="str">
        <f t="shared" si="0"/>
        <v>月</v>
      </c>
      <c r="C35" s="221">
        <f>VLOOKUP($E35,MatchTable!$A$3:$K$66,3)</f>
        <v>41812.75</v>
      </c>
      <c r="D35" s="171">
        <f>VLOOKUP($E35,MatchTable!$A$3:$K$66,4)</f>
        <v>41813.291666666664</v>
      </c>
      <c r="E35" s="210">
        <v>30</v>
      </c>
      <c r="F35" s="211" t="str">
        <f>VLOOKUP($E35,MatchTable!$A$3:$K$66,2)</f>
        <v>G</v>
      </c>
      <c r="G35" s="212" t="str">
        <f>VLOOKUP($E35,MatchTable!$A$3:$K$66,5)</f>
        <v>USA</v>
      </c>
      <c r="H35" s="213"/>
      <c r="I35" s="207" t="s">
        <v>53</v>
      </c>
      <c r="J35" s="213"/>
      <c r="K35" s="214" t="str">
        <f>VLOOKUP($E35,MatchTable!$A$3:$K$66,7)</f>
        <v>Portugal</v>
      </c>
      <c r="L35" s="215" t="str">
        <f>VLOOKUP($E35,MatchTable!$A$3:$K$66,10)</f>
        <v>Manaus</v>
      </c>
    </row>
    <row r="36" spans="1:12" ht="15.75" customHeight="1">
      <c r="A36" s="230">
        <f>INT(VLOOKUP($E36,MatchTable!$A$3:$K$66,3)+1)</f>
        <v>41814</v>
      </c>
      <c r="B36" s="217" t="str">
        <f t="shared" si="0"/>
        <v>火</v>
      </c>
      <c r="C36" s="221">
        <f>VLOOKUP($E36,MatchTable!$A$3:$K$66,3)</f>
        <v>41813.541666666664</v>
      </c>
      <c r="D36" s="171">
        <f>VLOOKUP($E36,MatchTable!$A$3:$K$66,4)</f>
        <v>41814.041666666664</v>
      </c>
      <c r="E36" s="210">
        <v>35</v>
      </c>
      <c r="F36" s="211" t="str">
        <f>VLOOKUP($E36,MatchTable!$A$3:$K$66,2)</f>
        <v>B</v>
      </c>
      <c r="G36" s="212" t="str">
        <f>VLOOKUP($E36,MatchTable!$A$3:$K$66,5)</f>
        <v>Australia</v>
      </c>
      <c r="H36" s="213"/>
      <c r="I36" s="207" t="s">
        <v>53</v>
      </c>
      <c r="J36" s="213"/>
      <c r="K36" s="214" t="str">
        <f>VLOOKUP($E36,MatchTable!$A$3:$K$66,7)</f>
        <v>Spain</v>
      </c>
      <c r="L36" s="215" t="str">
        <f>VLOOKUP($E36,MatchTable!$A$3:$K$66,10)</f>
        <v>Curitiba</v>
      </c>
    </row>
    <row r="37" spans="1:12" ht="15.75" customHeight="1">
      <c r="A37" s="231">
        <f>INT(VLOOKUP($E37,MatchTable!$A$3:$K$66,3)+1)</f>
        <v>41814</v>
      </c>
      <c r="B37" s="218" t="str">
        <f t="shared" si="0"/>
        <v>火</v>
      </c>
      <c r="C37" s="221">
        <f>VLOOKUP($E37,MatchTable!$A$3:$K$66,3)</f>
        <v>41813.541666666664</v>
      </c>
      <c r="D37" s="171">
        <f>VLOOKUP($E37,MatchTable!$A$3:$K$66,4)</f>
        <v>41814.041666666664</v>
      </c>
      <c r="E37" s="210">
        <v>36</v>
      </c>
      <c r="F37" s="211" t="str">
        <f>VLOOKUP($E37,MatchTable!$A$3:$K$66,2)</f>
        <v>B</v>
      </c>
      <c r="G37" s="212" t="str">
        <f>VLOOKUP($E37,MatchTable!$A$3:$K$66,5)</f>
        <v>Netherlands</v>
      </c>
      <c r="H37" s="213"/>
      <c r="I37" s="207" t="s">
        <v>53</v>
      </c>
      <c r="J37" s="213"/>
      <c r="K37" s="214" t="str">
        <f>VLOOKUP($E37,MatchTable!$A$3:$K$66,7)</f>
        <v>Chile</v>
      </c>
      <c r="L37" s="215" t="str">
        <f>VLOOKUP($E37,MatchTable!$A$3:$K$66,10)</f>
        <v>Sao Paulo</v>
      </c>
    </row>
    <row r="38" spans="1:12" ht="15.75" customHeight="1">
      <c r="A38" s="231">
        <f>INT(VLOOKUP($E38,MatchTable!$A$3:$K$66,3)+1)</f>
        <v>41814</v>
      </c>
      <c r="B38" s="218" t="str">
        <f t="shared" si="0"/>
        <v>火</v>
      </c>
      <c r="C38" s="221">
        <f>VLOOKUP($E38,MatchTable!$A$3:$K$66,3)</f>
        <v>41813.708333333336</v>
      </c>
      <c r="D38" s="171">
        <f>VLOOKUP($E38,MatchTable!$A$3:$K$66,4)</f>
        <v>41814.208333333336</v>
      </c>
      <c r="E38" s="210">
        <v>33</v>
      </c>
      <c r="F38" s="211" t="str">
        <f>VLOOKUP($E38,MatchTable!$A$3:$K$66,2)</f>
        <v>A</v>
      </c>
      <c r="G38" s="212" t="str">
        <f>VLOOKUP($E38,MatchTable!$A$3:$K$66,5)</f>
        <v>Cameroon</v>
      </c>
      <c r="H38" s="213"/>
      <c r="I38" s="207" t="s">
        <v>53</v>
      </c>
      <c r="J38" s="213"/>
      <c r="K38" s="214" t="str">
        <f>VLOOKUP($E38,MatchTable!$A$3:$K$66,7)</f>
        <v>Brazil</v>
      </c>
      <c r="L38" s="215" t="str">
        <f>VLOOKUP($E38,MatchTable!$A$3:$K$66,10)</f>
        <v>Brasilia</v>
      </c>
    </row>
    <row r="39" spans="1:12" ht="15.75" customHeight="1">
      <c r="A39" s="232">
        <f>INT(VLOOKUP($E39,MatchTable!$A$3:$K$66,3)+1)</f>
        <v>41814</v>
      </c>
      <c r="B39" s="219" t="str">
        <f t="shared" si="0"/>
        <v>火</v>
      </c>
      <c r="C39" s="221">
        <f>VLOOKUP($E39,MatchTable!$A$3:$K$66,3)</f>
        <v>41813.708333333336</v>
      </c>
      <c r="D39" s="171">
        <f>VLOOKUP($E39,MatchTable!$A$3:$K$66,4)</f>
        <v>41814.208333333336</v>
      </c>
      <c r="E39" s="210">
        <v>34</v>
      </c>
      <c r="F39" s="211" t="str">
        <f>VLOOKUP($E39,MatchTable!$A$3:$K$66,2)</f>
        <v>A</v>
      </c>
      <c r="G39" s="212" t="str">
        <f>VLOOKUP($E39,MatchTable!$A$3:$K$66,5)</f>
        <v>Croatia</v>
      </c>
      <c r="H39" s="213"/>
      <c r="I39" s="207" t="s">
        <v>53</v>
      </c>
      <c r="J39" s="213"/>
      <c r="K39" s="214" t="str">
        <f>VLOOKUP($E39,MatchTable!$A$3:$K$66,7)</f>
        <v>Mexico</v>
      </c>
      <c r="L39" s="215" t="str">
        <f>VLOOKUP($E39,MatchTable!$A$3:$K$66,10)</f>
        <v>Recife</v>
      </c>
    </row>
    <row r="40" spans="1:12" ht="15.75" customHeight="1">
      <c r="A40" s="230">
        <f>INT(VLOOKUP($E40,MatchTable!$A$3:$K$66,3)+1)</f>
        <v>41815</v>
      </c>
      <c r="B40" s="217" t="str">
        <f t="shared" si="0"/>
        <v>水</v>
      </c>
      <c r="C40" s="221">
        <f>VLOOKUP($E40,MatchTable!$A$3:$K$66,3)</f>
        <v>41814.541666666664</v>
      </c>
      <c r="D40" s="171">
        <f>VLOOKUP($E40,MatchTable!$A$3:$K$66,4)</f>
        <v>41815.041666666664</v>
      </c>
      <c r="E40" s="210">
        <v>39</v>
      </c>
      <c r="F40" s="211" t="str">
        <f>VLOOKUP($E40,MatchTable!$A$3:$K$66,2)</f>
        <v>D</v>
      </c>
      <c r="G40" s="212" t="str">
        <f>VLOOKUP($E40,MatchTable!$A$3:$K$66,5)</f>
        <v>Italy</v>
      </c>
      <c r="H40" s="213"/>
      <c r="I40" s="207" t="s">
        <v>53</v>
      </c>
      <c r="J40" s="213"/>
      <c r="K40" s="214" t="str">
        <f>VLOOKUP($E40,MatchTable!$A$3:$K$66,7)</f>
        <v>Urguay</v>
      </c>
      <c r="L40" s="215" t="str">
        <f>VLOOKUP($E40,MatchTable!$A$3:$K$66,10)</f>
        <v>Natal</v>
      </c>
    </row>
    <row r="41" spans="1:12" ht="15.75" customHeight="1">
      <c r="A41" s="231">
        <f>INT(VLOOKUP($E41,MatchTable!$A$3:$K$66,3)+1)</f>
        <v>41815</v>
      </c>
      <c r="B41" s="218" t="str">
        <f t="shared" si="0"/>
        <v>水</v>
      </c>
      <c r="C41" s="221">
        <f>VLOOKUP($E41,MatchTable!$A$3:$K$66,3)</f>
        <v>41814.541666666664</v>
      </c>
      <c r="D41" s="171">
        <f>VLOOKUP($E41,MatchTable!$A$3:$K$66,4)</f>
        <v>41815.041666666664</v>
      </c>
      <c r="E41" s="210">
        <v>40</v>
      </c>
      <c r="F41" s="211" t="str">
        <f>VLOOKUP($E41,MatchTable!$A$3:$K$66,2)</f>
        <v>D</v>
      </c>
      <c r="G41" s="212" t="str">
        <f>VLOOKUP($E41,MatchTable!$A$3:$K$66,5)</f>
        <v>Costa Rica</v>
      </c>
      <c r="H41" s="213"/>
      <c r="I41" s="207" t="s">
        <v>53</v>
      </c>
      <c r="J41" s="213"/>
      <c r="K41" s="214" t="str">
        <f>VLOOKUP($E41,MatchTable!$A$3:$K$66,7)</f>
        <v>England</v>
      </c>
      <c r="L41" s="215" t="str">
        <f>VLOOKUP($E41,MatchTable!$A$3:$K$66,10)</f>
        <v>Belo Horizonte</v>
      </c>
    </row>
    <row r="42" spans="1:12" ht="15.75" customHeight="1">
      <c r="A42" s="231">
        <f>INT(VLOOKUP($E42,MatchTable!$A$3:$K$66,3)+1)</f>
        <v>41815</v>
      </c>
      <c r="B42" s="218" t="str">
        <f t="shared" si="0"/>
        <v>水</v>
      </c>
      <c r="C42" s="221">
        <f>VLOOKUP($E42,MatchTable!$A$3:$K$66,3)</f>
        <v>41814.666666666664</v>
      </c>
      <c r="D42" s="171">
        <f>VLOOKUP($E42,MatchTable!$A$3:$K$66,4)</f>
        <v>41815.20833333333</v>
      </c>
      <c r="E42" s="210">
        <v>37</v>
      </c>
      <c r="F42" s="211" t="str">
        <f>VLOOKUP($E42,MatchTable!$A$3:$K$66,2)</f>
        <v>C</v>
      </c>
      <c r="G42" s="212" t="str">
        <f>VLOOKUP($E42,MatchTable!$A$3:$K$66,5)</f>
        <v>Japan</v>
      </c>
      <c r="H42" s="213"/>
      <c r="I42" s="207" t="s">
        <v>53</v>
      </c>
      <c r="J42" s="213"/>
      <c r="K42" s="214" t="str">
        <f>VLOOKUP($E42,MatchTable!$A$3:$K$66,7)</f>
        <v>Colombia</v>
      </c>
      <c r="L42" s="215" t="str">
        <f>VLOOKUP($E42,MatchTable!$A$3:$K$66,10)</f>
        <v>Cuiaba</v>
      </c>
    </row>
    <row r="43" spans="1:12" ht="15.75" customHeight="1">
      <c r="A43" s="232">
        <f>INT(VLOOKUP($E43,MatchTable!$A$3:$K$66,3)+1)</f>
        <v>41815</v>
      </c>
      <c r="B43" s="219" t="str">
        <f t="shared" si="0"/>
        <v>水</v>
      </c>
      <c r="C43" s="221">
        <f>VLOOKUP($E43,MatchTable!$A$3:$K$66,3)</f>
        <v>41814.708333333336</v>
      </c>
      <c r="D43" s="171">
        <f>VLOOKUP($E43,MatchTable!$A$3:$K$66,4)</f>
        <v>41815.208333333336</v>
      </c>
      <c r="E43" s="210">
        <v>38</v>
      </c>
      <c r="F43" s="211" t="str">
        <f>VLOOKUP($E43,MatchTable!$A$3:$K$66,2)</f>
        <v>C</v>
      </c>
      <c r="G43" s="212" t="str">
        <f>VLOOKUP($E43,MatchTable!$A$3:$K$66,5)</f>
        <v>Greece</v>
      </c>
      <c r="H43" s="213"/>
      <c r="I43" s="207" t="s">
        <v>53</v>
      </c>
      <c r="J43" s="213"/>
      <c r="K43" s="214" t="str">
        <f>VLOOKUP($E43,MatchTable!$A$3:$K$66,7)</f>
        <v>Co^te d'Ivoire</v>
      </c>
      <c r="L43" s="215" t="str">
        <f>VLOOKUP($E43,MatchTable!$A$3:$K$66,10)</f>
        <v>Fortaleza</v>
      </c>
    </row>
    <row r="44" spans="1:12" ht="15.75" customHeight="1">
      <c r="A44" s="230">
        <f>INT(VLOOKUP($E44,MatchTable!$A$3:$K$66,3)+1)</f>
        <v>41816</v>
      </c>
      <c r="B44" s="217" t="str">
        <f t="shared" si="0"/>
        <v>木</v>
      </c>
      <c r="C44" s="221">
        <f>VLOOKUP($E44,MatchTable!$A$3:$K$66,3)</f>
        <v>41815.541666666664</v>
      </c>
      <c r="D44" s="171">
        <f>VLOOKUP($E44,MatchTable!$A$3:$K$66,4)</f>
        <v>41816.041666666664</v>
      </c>
      <c r="E44" s="210">
        <v>43</v>
      </c>
      <c r="F44" s="211" t="str">
        <f>VLOOKUP($E44,MatchTable!$A$3:$K$66,2)</f>
        <v>F</v>
      </c>
      <c r="G44" s="212" t="str">
        <f>VLOOKUP($E44,MatchTable!$A$3:$K$66,5)</f>
        <v>Nigeria</v>
      </c>
      <c r="H44" s="213"/>
      <c r="I44" s="207" t="s">
        <v>53</v>
      </c>
      <c r="J44" s="213"/>
      <c r="K44" s="214" t="str">
        <f>VLOOKUP($E44,MatchTable!$A$3:$K$66,7)</f>
        <v>Argentina</v>
      </c>
      <c r="L44" s="215" t="str">
        <f>VLOOKUP($E44,MatchTable!$A$3:$K$66,10)</f>
        <v>Porto Alegre</v>
      </c>
    </row>
    <row r="45" spans="1:12" ht="15.75" customHeight="1">
      <c r="A45" s="231">
        <f>INT(VLOOKUP($E45,MatchTable!$A$3:$K$66,3)+1)</f>
        <v>41816</v>
      </c>
      <c r="B45" s="218" t="str">
        <f t="shared" si="0"/>
        <v>木</v>
      </c>
      <c r="C45" s="221">
        <f>VLOOKUP($E45,MatchTable!$A$3:$K$66,3)</f>
        <v>41815.541666666664</v>
      </c>
      <c r="D45" s="171">
        <f>VLOOKUP($E45,MatchTable!$A$3:$K$66,4)</f>
        <v>41816.041666666664</v>
      </c>
      <c r="E45" s="210">
        <v>44</v>
      </c>
      <c r="F45" s="211" t="str">
        <f>VLOOKUP($E45,MatchTable!$A$3:$K$66,2)</f>
        <v>F</v>
      </c>
      <c r="G45" s="212" t="str">
        <f>VLOOKUP($E45,MatchTable!$A$3:$K$66,5)</f>
        <v>Bosnia-Herzegovina</v>
      </c>
      <c r="H45" s="213"/>
      <c r="I45" s="207" t="s">
        <v>53</v>
      </c>
      <c r="J45" s="213"/>
      <c r="K45" s="214" t="str">
        <f>VLOOKUP($E45,MatchTable!$A$3:$K$66,7)</f>
        <v>Iran</v>
      </c>
      <c r="L45" s="215" t="str">
        <f>VLOOKUP($E45,MatchTable!$A$3:$K$66,10)</f>
        <v>Salvador</v>
      </c>
    </row>
    <row r="46" spans="1:12" ht="15.75" customHeight="1">
      <c r="A46" s="231">
        <f>INT(VLOOKUP($E46,MatchTable!$A$3:$K$66,3)+1)</f>
        <v>41816</v>
      </c>
      <c r="B46" s="218" t="str">
        <f t="shared" si="0"/>
        <v>木</v>
      </c>
      <c r="C46" s="221">
        <f>VLOOKUP($E46,MatchTable!$A$3:$K$66,3)</f>
        <v>41815.666666666664</v>
      </c>
      <c r="D46" s="171">
        <f>VLOOKUP($E46,MatchTable!$A$3:$K$66,4)</f>
        <v>41816.20833333333</v>
      </c>
      <c r="E46" s="210">
        <v>41</v>
      </c>
      <c r="F46" s="211" t="str">
        <f>VLOOKUP($E46,MatchTable!$A$3:$K$66,2)</f>
        <v>E</v>
      </c>
      <c r="G46" s="212" t="str">
        <f>VLOOKUP($E46,MatchTable!$A$3:$K$66,5)</f>
        <v>Honduras</v>
      </c>
      <c r="H46" s="213"/>
      <c r="I46" s="207" t="s">
        <v>53</v>
      </c>
      <c r="J46" s="213"/>
      <c r="K46" s="214" t="str">
        <f>VLOOKUP($E46,MatchTable!$A$3:$K$66,7)</f>
        <v>Switzerland</v>
      </c>
      <c r="L46" s="215" t="str">
        <f>VLOOKUP($E46,MatchTable!$A$3:$K$66,10)</f>
        <v>Manaus</v>
      </c>
    </row>
    <row r="47" spans="1:12" ht="15.75" customHeight="1">
      <c r="A47" s="232">
        <f>INT(VLOOKUP($E47,MatchTable!$A$3:$K$66,3)+1)</f>
        <v>41816</v>
      </c>
      <c r="B47" s="219" t="str">
        <f t="shared" si="0"/>
        <v>木</v>
      </c>
      <c r="C47" s="221">
        <f>VLOOKUP($E47,MatchTable!$A$3:$K$66,3)</f>
        <v>41815.708333333336</v>
      </c>
      <c r="D47" s="171">
        <f>VLOOKUP($E47,MatchTable!$A$3:$K$66,4)</f>
        <v>41816.208333333336</v>
      </c>
      <c r="E47" s="210">
        <v>42</v>
      </c>
      <c r="F47" s="211" t="str">
        <f>VLOOKUP($E47,MatchTable!$A$3:$K$66,2)</f>
        <v>E</v>
      </c>
      <c r="G47" s="212" t="str">
        <f>VLOOKUP($E47,MatchTable!$A$3:$K$66,5)</f>
        <v>Ecuador</v>
      </c>
      <c r="H47" s="213"/>
      <c r="I47" s="207" t="s">
        <v>53</v>
      </c>
      <c r="J47" s="213"/>
      <c r="K47" s="214" t="str">
        <f>VLOOKUP($E47,MatchTable!$A$3:$K$66,7)</f>
        <v>France</v>
      </c>
      <c r="L47" s="215" t="str">
        <f>VLOOKUP($E47,MatchTable!$A$3:$K$66,10)</f>
        <v>Rio de Janeiro</v>
      </c>
    </row>
    <row r="48" spans="1:12" ht="15.75" customHeight="1">
      <c r="A48" s="230">
        <f>INT(VLOOKUP($E48,MatchTable!$A$3:$K$66,3)+1)</f>
        <v>41817</v>
      </c>
      <c r="B48" s="217" t="str">
        <f t="shared" si="0"/>
        <v>金</v>
      </c>
      <c r="C48" s="221">
        <f>VLOOKUP($E48,MatchTable!$A$3:$K$66,3)</f>
        <v>41816.541666666664</v>
      </c>
      <c r="D48" s="171">
        <f>VLOOKUP($E48,MatchTable!$A$3:$K$66,4)</f>
        <v>41817.041666666664</v>
      </c>
      <c r="E48" s="210">
        <v>45</v>
      </c>
      <c r="F48" s="211" t="str">
        <f>VLOOKUP($E48,MatchTable!$A$3:$K$66,2)</f>
        <v>G</v>
      </c>
      <c r="G48" s="212" t="str">
        <f>VLOOKUP($E48,MatchTable!$A$3:$K$66,5)</f>
        <v>USA</v>
      </c>
      <c r="H48" s="213"/>
      <c r="I48" s="207" t="s">
        <v>53</v>
      </c>
      <c r="J48" s="213"/>
      <c r="K48" s="214" t="str">
        <f>VLOOKUP($E48,MatchTable!$A$3:$K$66,7)</f>
        <v>Germany</v>
      </c>
      <c r="L48" s="215" t="str">
        <f>VLOOKUP($E48,MatchTable!$A$3:$K$66,10)</f>
        <v>Recife</v>
      </c>
    </row>
    <row r="49" spans="1:12" ht="15.75" customHeight="1">
      <c r="A49" s="231">
        <f>INT(VLOOKUP($E49,MatchTable!$A$3:$K$66,3)+1)</f>
        <v>41817</v>
      </c>
      <c r="B49" s="218" t="str">
        <f t="shared" si="0"/>
        <v>金</v>
      </c>
      <c r="C49" s="221">
        <f>VLOOKUP($E49,MatchTable!$A$3:$K$66,3)</f>
        <v>41816.541666666664</v>
      </c>
      <c r="D49" s="171">
        <f>VLOOKUP($E49,MatchTable!$A$3:$K$66,4)</f>
        <v>41817.041666666664</v>
      </c>
      <c r="E49" s="210">
        <v>46</v>
      </c>
      <c r="F49" s="211" t="str">
        <f>VLOOKUP($E49,MatchTable!$A$3:$K$66,2)</f>
        <v>G</v>
      </c>
      <c r="G49" s="212" t="str">
        <f>VLOOKUP($E49,MatchTable!$A$3:$K$66,5)</f>
        <v>Portugal</v>
      </c>
      <c r="H49" s="213"/>
      <c r="I49" s="207" t="s">
        <v>53</v>
      </c>
      <c r="J49" s="213"/>
      <c r="K49" s="214" t="str">
        <f>VLOOKUP($E49,MatchTable!$A$3:$K$66,7)</f>
        <v>Ghana</v>
      </c>
      <c r="L49" s="215" t="str">
        <f>VLOOKUP($E49,MatchTable!$A$3:$K$66,10)</f>
        <v>Brasilia</v>
      </c>
    </row>
    <row r="50" spans="1:12" ht="15.75" customHeight="1">
      <c r="A50" s="231">
        <f>INT(VLOOKUP($E50,MatchTable!$A$3:$K$66,3)+1)</f>
        <v>41817</v>
      </c>
      <c r="B50" s="218" t="str">
        <f t="shared" si="0"/>
        <v>金</v>
      </c>
      <c r="C50" s="221">
        <f>VLOOKUP($E50,MatchTable!$A$3:$K$66,3)</f>
        <v>41816.708333333336</v>
      </c>
      <c r="D50" s="171">
        <f>VLOOKUP($E50,MatchTable!$A$3:$K$66,4)</f>
        <v>41817.208333333336</v>
      </c>
      <c r="E50" s="210">
        <v>47</v>
      </c>
      <c r="F50" s="211" t="str">
        <f>VLOOKUP($E50,MatchTable!$A$3:$K$66,2)</f>
        <v>H</v>
      </c>
      <c r="G50" s="212" t="str">
        <f>VLOOKUP($E50,MatchTable!$A$3:$K$66,5)</f>
        <v>Korea Republic</v>
      </c>
      <c r="H50" s="213"/>
      <c r="I50" s="207" t="s">
        <v>53</v>
      </c>
      <c r="J50" s="213"/>
      <c r="K50" s="214" t="str">
        <f>VLOOKUP($E50,MatchTable!$A$3:$K$66,7)</f>
        <v>Belgium</v>
      </c>
      <c r="L50" s="215" t="str">
        <f>VLOOKUP($E50,MatchTable!$A$3:$K$66,10)</f>
        <v>Sao Paulo</v>
      </c>
    </row>
    <row r="51" spans="1:12" ht="15.75" customHeight="1">
      <c r="A51" s="232">
        <f>INT(VLOOKUP($E51,MatchTable!$A$3:$K$66,3)+1)</f>
        <v>41817</v>
      </c>
      <c r="B51" s="219" t="str">
        <f t="shared" si="0"/>
        <v>金</v>
      </c>
      <c r="C51" s="221">
        <f>VLOOKUP($E51,MatchTable!$A$3:$K$66,3)</f>
        <v>41816.708333333336</v>
      </c>
      <c r="D51" s="171">
        <f>VLOOKUP($E51,MatchTable!$A$3:$K$66,4)</f>
        <v>41817.208333333336</v>
      </c>
      <c r="E51" s="210">
        <v>48</v>
      </c>
      <c r="F51" s="211" t="str">
        <f>VLOOKUP($E51,MatchTable!$A$3:$K$66,2)</f>
        <v>H</v>
      </c>
      <c r="G51" s="212" t="str">
        <f>VLOOKUP($E51,MatchTable!$A$3:$K$66,5)</f>
        <v>Algeria</v>
      </c>
      <c r="H51" s="213"/>
      <c r="I51" s="207" t="s">
        <v>53</v>
      </c>
      <c r="J51" s="213"/>
      <c r="K51" s="214" t="str">
        <f>VLOOKUP($E51,MatchTable!$A$3:$K$66,7)</f>
        <v>Russia</v>
      </c>
      <c r="L51" s="215" t="str">
        <f>VLOOKUP($E51,MatchTable!$A$3:$K$66,10)</f>
        <v>Curitiba</v>
      </c>
    </row>
    <row r="52" spans="3:4" ht="15.75" customHeight="1">
      <c r="C52" s="8" t="s">
        <v>435</v>
      </c>
      <c r="D52" s="8"/>
    </row>
  </sheetData>
  <mergeCells count="4">
    <mergeCell ref="L2:L3"/>
    <mergeCell ref="H2:J3"/>
    <mergeCell ref="E2:E3"/>
    <mergeCell ref="F2:F3"/>
  </mergeCells>
  <conditionalFormatting sqref="B1">
    <cfRule type="expression" priority="1" dxfId="0" stopIfTrue="1">
      <formula>(B1=B65533)</formula>
    </cfRule>
  </conditionalFormatting>
  <conditionalFormatting sqref="H4:H51 J4:J51">
    <cfRule type="expression" priority="2" dxfId="1" stopIfTrue="1">
      <formula>AND($D4+"2:00"&lt;NOW(),H4="")</formula>
    </cfRule>
  </conditionalFormatting>
  <conditionalFormatting sqref="B5:B51 A4:A51">
    <cfRule type="expression" priority="3" dxfId="0" stopIfTrue="1">
      <formula>(A3=A4)</formula>
    </cfRule>
  </conditionalFormatting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E15" sqref="E15"/>
    </sheetView>
  </sheetViews>
  <sheetFormatPr defaultColWidth="8.796875" defaultRowHeight="18" customHeight="1"/>
  <cols>
    <col min="1" max="1" width="3.59765625" style="39" customWidth="1"/>
    <col min="2" max="2" width="3.09765625" style="39" customWidth="1"/>
    <col min="3" max="3" width="13.09765625" style="39" customWidth="1"/>
    <col min="4" max="4" width="5.59765625" style="42" customWidth="1"/>
    <col min="5" max="6" width="7.09765625" style="42" customWidth="1"/>
    <col min="7" max="8" width="7.09765625" style="42" bestFit="1" customWidth="1"/>
    <col min="9" max="9" width="2.3984375" style="39" customWidth="1"/>
    <col min="10" max="12" width="3.59765625" style="39" customWidth="1"/>
    <col min="13" max="13" width="2.3984375" style="39" customWidth="1"/>
    <col min="14" max="14" width="5.09765625" style="39" customWidth="1"/>
    <col min="15" max="15" width="5.09765625" style="39" bestFit="1" customWidth="1"/>
    <col min="16" max="16" width="1.59765625" style="39" customWidth="1"/>
    <col min="17" max="16384" width="9" style="39" customWidth="1"/>
  </cols>
  <sheetData>
    <row r="1" spans="2:9" ht="18" customHeight="1">
      <c r="B1" s="23" t="s">
        <v>402</v>
      </c>
      <c r="C1" s="23"/>
      <c r="D1" s="40"/>
      <c r="E1" s="40"/>
      <c r="F1" s="40"/>
      <c r="G1" s="41"/>
      <c r="H1" s="12"/>
      <c r="I1" s="12"/>
    </row>
    <row r="2" spans="2:3" ht="18" customHeight="1">
      <c r="B2" s="147" t="s">
        <v>26</v>
      </c>
      <c r="C2" s="23" t="s">
        <v>0</v>
      </c>
    </row>
    <row r="3" spans="1:15" ht="18" customHeight="1" thickBot="1">
      <c r="A3" s="43" t="s">
        <v>24</v>
      </c>
      <c r="C3" s="39" t="s">
        <v>1</v>
      </c>
      <c r="D3" s="9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/>
      <c r="J3" s="42" t="s">
        <v>7</v>
      </c>
      <c r="K3" s="42" t="s">
        <v>8</v>
      </c>
      <c r="L3" s="42" t="s">
        <v>9</v>
      </c>
      <c r="N3" s="42"/>
      <c r="O3" s="42" t="s">
        <v>10</v>
      </c>
    </row>
    <row r="4" spans="1:15" ht="18" customHeight="1">
      <c r="A4" s="44" t="str">
        <f>$B$2&amp;O4</f>
        <v>A1</v>
      </c>
      <c r="B4" s="148"/>
      <c r="C4" s="46" t="s">
        <v>371</v>
      </c>
      <c r="D4" s="47" t="s">
        <v>241</v>
      </c>
      <c r="E4" s="48">
        <f aca="true" t="shared" si="0" ref="E4:G7">SUMIF($D$11:$D$22,$D4,E$11:E$22)</f>
        <v>3</v>
      </c>
      <c r="F4" s="48">
        <f t="shared" si="0"/>
        <v>1</v>
      </c>
      <c r="G4" s="48">
        <f t="shared" si="0"/>
        <v>3</v>
      </c>
      <c r="H4" s="49">
        <f>E4-F4</f>
        <v>2</v>
      </c>
      <c r="I4" s="50"/>
      <c r="J4" s="51">
        <f aca="true" t="shared" si="1" ref="J4:L7">COUNTIF(J$11:J$22,$D4)</f>
        <v>1</v>
      </c>
      <c r="K4" s="52">
        <f t="shared" si="1"/>
        <v>0</v>
      </c>
      <c r="L4" s="53">
        <f t="shared" si="1"/>
        <v>0</v>
      </c>
      <c r="M4" s="12"/>
      <c r="N4" s="54">
        <f>G4*10000+(H4+50)*100+E4</f>
        <v>35203</v>
      </c>
      <c r="O4" s="49">
        <f>RANK(N4,$N$4:$N$7)</f>
        <v>1</v>
      </c>
    </row>
    <row r="5" spans="1:15" ht="18" customHeight="1">
      <c r="A5" s="44" t="str">
        <f>$B$2&amp;O5</f>
        <v>A4</v>
      </c>
      <c r="B5" s="149"/>
      <c r="C5" s="56" t="s">
        <v>372</v>
      </c>
      <c r="D5" s="57" t="s">
        <v>293</v>
      </c>
      <c r="E5" s="58">
        <f t="shared" si="0"/>
        <v>1</v>
      </c>
      <c r="F5" s="58">
        <f t="shared" si="0"/>
        <v>3</v>
      </c>
      <c r="G5" s="58">
        <f t="shared" si="0"/>
        <v>0</v>
      </c>
      <c r="H5" s="59">
        <f>E5-F5</f>
        <v>-2</v>
      </c>
      <c r="I5" s="50"/>
      <c r="J5" s="60">
        <f t="shared" si="1"/>
        <v>0</v>
      </c>
      <c r="K5" s="61">
        <f t="shared" si="1"/>
        <v>0</v>
      </c>
      <c r="L5" s="62">
        <f t="shared" si="1"/>
        <v>1</v>
      </c>
      <c r="M5" s="12"/>
      <c r="N5" s="63">
        <f>G5*10000+(H5+50)*100+E5</f>
        <v>4801</v>
      </c>
      <c r="O5" s="59">
        <f>RANK(N5,$N$4:$N$7)</f>
        <v>4</v>
      </c>
    </row>
    <row r="6" spans="1:15" ht="18" customHeight="1">
      <c r="A6" s="44" t="str">
        <f>$B$2&amp;O6</f>
        <v>A2</v>
      </c>
      <c r="B6" s="149"/>
      <c r="C6" s="56" t="s">
        <v>373</v>
      </c>
      <c r="D6" s="57" t="s">
        <v>341</v>
      </c>
      <c r="E6" s="58">
        <f t="shared" si="0"/>
        <v>1</v>
      </c>
      <c r="F6" s="58">
        <f t="shared" si="0"/>
        <v>0</v>
      </c>
      <c r="G6" s="58">
        <f t="shared" si="0"/>
        <v>3</v>
      </c>
      <c r="H6" s="59">
        <f>E6-F6</f>
        <v>1</v>
      </c>
      <c r="I6" s="50"/>
      <c r="J6" s="60">
        <f t="shared" si="1"/>
        <v>1</v>
      </c>
      <c r="K6" s="61">
        <f t="shared" si="1"/>
        <v>0</v>
      </c>
      <c r="L6" s="62">
        <f t="shared" si="1"/>
        <v>0</v>
      </c>
      <c r="M6" s="12"/>
      <c r="N6" s="63">
        <f>G6*10000+(H6+50)*100+E6</f>
        <v>35101</v>
      </c>
      <c r="O6" s="59">
        <f>RANK(N6,$N$4:$N$7)</f>
        <v>2</v>
      </c>
    </row>
    <row r="7" spans="1:15" ht="18" customHeight="1" thickBot="1">
      <c r="A7" s="44" t="str">
        <f>$B$2&amp;O7</f>
        <v>A3</v>
      </c>
      <c r="B7" s="150"/>
      <c r="C7" s="65" t="s">
        <v>374</v>
      </c>
      <c r="D7" s="66" t="s">
        <v>250</v>
      </c>
      <c r="E7" s="67">
        <f t="shared" si="0"/>
        <v>0</v>
      </c>
      <c r="F7" s="67">
        <f t="shared" si="0"/>
        <v>1</v>
      </c>
      <c r="G7" s="67">
        <f t="shared" si="0"/>
        <v>0</v>
      </c>
      <c r="H7" s="68">
        <f>E7-F7</f>
        <v>-1</v>
      </c>
      <c r="I7" s="50"/>
      <c r="J7" s="69">
        <f t="shared" si="1"/>
        <v>0</v>
      </c>
      <c r="K7" s="70">
        <f t="shared" si="1"/>
        <v>0</v>
      </c>
      <c r="L7" s="71">
        <f t="shared" si="1"/>
        <v>1</v>
      </c>
      <c r="M7" s="12"/>
      <c r="N7" s="72">
        <f>G7*10000+(H7+50)*100+E7</f>
        <v>4900</v>
      </c>
      <c r="O7" s="68">
        <f>RANK(N7,$N$4:$N$7)</f>
        <v>3</v>
      </c>
    </row>
    <row r="8" spans="4:8" ht="18" customHeight="1">
      <c r="D8" s="39"/>
      <c r="E8" s="73">
        <f>SUM(E4:E7)</f>
        <v>5</v>
      </c>
      <c r="F8" s="73">
        <f>SUM(F4:F7)</f>
        <v>5</v>
      </c>
      <c r="G8" s="73">
        <f>SUM(G4:G7)</f>
        <v>6</v>
      </c>
      <c r="H8" s="73">
        <f>SUM(H4:H7)</f>
        <v>0</v>
      </c>
    </row>
    <row r="9" spans="3:7" ht="18" customHeight="1">
      <c r="C9" s="42" t="s">
        <v>116</v>
      </c>
      <c r="D9" s="39"/>
      <c r="E9" s="74" t="s">
        <v>11</v>
      </c>
      <c r="F9" s="74"/>
      <c r="G9" s="75"/>
    </row>
    <row r="10" spans="2:12" ht="18" customHeight="1" thickBot="1">
      <c r="B10" s="111" t="s">
        <v>115</v>
      </c>
      <c r="C10" s="9" t="s">
        <v>117</v>
      </c>
      <c r="D10" s="42" t="s">
        <v>12</v>
      </c>
      <c r="E10" s="42" t="s">
        <v>13</v>
      </c>
      <c r="F10" s="42" t="s">
        <v>14</v>
      </c>
      <c r="G10" s="42" t="s">
        <v>15</v>
      </c>
      <c r="J10" s="42" t="s">
        <v>7</v>
      </c>
      <c r="K10" s="42" t="s">
        <v>8</v>
      </c>
      <c r="L10" s="42" t="s">
        <v>9</v>
      </c>
    </row>
    <row r="11" spans="2:12" ht="18" customHeight="1">
      <c r="B11" s="82">
        <v>1</v>
      </c>
      <c r="C11" s="121">
        <f>VLOOKUP($B11,MatchTable!$A$3:$G$50,3)</f>
        <v>41802.708333333336</v>
      </c>
      <c r="D11" s="122" t="str">
        <f>VLOOKUP($B11,MatchTable!$A$3:$H$50,6)</f>
        <v>BRA</v>
      </c>
      <c r="E11" s="152">
        <v>3</v>
      </c>
      <c r="F11" s="123">
        <f>IF(E12="","",E12)</f>
        <v>1</v>
      </c>
      <c r="G11" s="78">
        <f>IF(E11="","",IF(E11&gt;E12,3,IF(E11=E12,1,0)))</f>
        <v>3</v>
      </c>
      <c r="J11" s="79" t="str">
        <f aca="true" t="shared" si="2" ref="J11:J22">IF($E11="","",IF($G11=3,$D11,""))</f>
        <v>BRA</v>
      </c>
      <c r="K11" s="80">
        <f aca="true" t="shared" si="3" ref="K11:K22">IF($E11="","",IF($G11=1,$D11,""))</f>
      </c>
      <c r="L11" s="81">
        <f aca="true" t="shared" si="4" ref="L11:L22">IF($E11="","",IF($G11=0,$D11,""))</f>
      </c>
    </row>
    <row r="12" spans="2:12" ht="18" customHeight="1" thickBot="1">
      <c r="B12" s="151">
        <f>B11</f>
        <v>1</v>
      </c>
      <c r="C12" s="124">
        <f>VLOOKUP($B12,MatchTable!$A$3:$G$50,4)</f>
        <v>41803.208333333336</v>
      </c>
      <c r="D12" s="125" t="str">
        <f>VLOOKUP($B12,MatchTable!$A$3:$H$50,8)</f>
        <v>CRO</v>
      </c>
      <c r="E12" s="153">
        <v>1</v>
      </c>
      <c r="F12" s="126">
        <f>IF(E11="","",E11)</f>
        <v>3</v>
      </c>
      <c r="G12" s="93">
        <f>IF(E12="","",IF(E11&lt;E12,3,IF(E11=E12,1,0)))</f>
        <v>0</v>
      </c>
      <c r="J12" s="86">
        <f t="shared" si="2"/>
      </c>
      <c r="K12" s="73">
        <f t="shared" si="3"/>
      </c>
      <c r="L12" s="87" t="str">
        <f t="shared" si="4"/>
        <v>CRO</v>
      </c>
    </row>
    <row r="13" spans="2:12" ht="18" customHeight="1">
      <c r="B13" s="82">
        <v>2</v>
      </c>
      <c r="C13" s="121">
        <f>VLOOKUP($B13,MatchTable!$A$3:$G$50,3)</f>
        <v>41803.541666666664</v>
      </c>
      <c r="D13" s="122" t="str">
        <f>VLOOKUP($B13,MatchTable!$A$3:$H$50,6)</f>
        <v>MEX</v>
      </c>
      <c r="E13" s="152">
        <v>1</v>
      </c>
      <c r="F13" s="123">
        <f>IF(E14="","",E14)</f>
        <v>0</v>
      </c>
      <c r="G13" s="78">
        <f>IF(E13="","",IF(E13&gt;E14,3,IF(E13=E14,1,0)))</f>
        <v>3</v>
      </c>
      <c r="J13" s="86" t="str">
        <f t="shared" si="2"/>
        <v>MEX</v>
      </c>
      <c r="K13" s="73">
        <f t="shared" si="3"/>
      </c>
      <c r="L13" s="87">
        <f t="shared" si="4"/>
      </c>
    </row>
    <row r="14" spans="2:12" ht="18" customHeight="1" thickBot="1">
      <c r="B14" s="151">
        <f>B13</f>
        <v>2</v>
      </c>
      <c r="C14" s="124">
        <f>VLOOKUP($B14,MatchTable!$A$3:$G$50,4)</f>
        <v>41804.041666666664</v>
      </c>
      <c r="D14" s="125" t="str">
        <f>VLOOKUP($B14,MatchTable!$A$3:$H$50,8)</f>
        <v>CMR</v>
      </c>
      <c r="E14" s="153">
        <v>0</v>
      </c>
      <c r="F14" s="126">
        <f>IF(E13="","",E13)</f>
        <v>1</v>
      </c>
      <c r="G14" s="93">
        <f>IF(E14="","",IF(E13&lt;E14,3,IF(E13=E14,1,0)))</f>
        <v>0</v>
      </c>
      <c r="J14" s="86">
        <f t="shared" si="2"/>
      </c>
      <c r="K14" s="73">
        <f t="shared" si="3"/>
      </c>
      <c r="L14" s="87" t="str">
        <f t="shared" si="4"/>
        <v>CMR</v>
      </c>
    </row>
    <row r="15" spans="2:12" ht="18" customHeight="1">
      <c r="B15" s="82">
        <v>17</v>
      </c>
      <c r="C15" s="121">
        <f>VLOOKUP($B15,MatchTable!$A$3:$G$50,3)</f>
        <v>41807.666666666664</v>
      </c>
      <c r="D15" s="122" t="str">
        <f>VLOOKUP($B15,MatchTable!$A$3:$H$50,6)</f>
        <v>BRA</v>
      </c>
      <c r="E15" s="152"/>
      <c r="F15" s="123">
        <f>IF(E16="","",E16)</f>
      </c>
      <c r="G15" s="78">
        <f>IF(E15="","",IF(E15&gt;E16,3,IF(E15=E16,1,0)))</f>
      </c>
      <c r="J15" s="86">
        <f t="shared" si="2"/>
      </c>
      <c r="K15" s="73">
        <f t="shared" si="3"/>
      </c>
      <c r="L15" s="87">
        <f t="shared" si="4"/>
      </c>
    </row>
    <row r="16" spans="2:12" ht="18" customHeight="1" thickBot="1">
      <c r="B16" s="151">
        <f>B15</f>
        <v>17</v>
      </c>
      <c r="C16" s="124">
        <f>VLOOKUP($B15,MatchTable!$A$3:$G$50,4)</f>
        <v>41808.166666666664</v>
      </c>
      <c r="D16" s="125" t="str">
        <f>VLOOKUP($B16,MatchTable!$A$3:$H$50,8)</f>
        <v>MEX</v>
      </c>
      <c r="E16" s="153"/>
      <c r="F16" s="126">
        <f>IF(E15="","",E15)</f>
      </c>
      <c r="G16" s="93">
        <f>IF(E16="","",IF(E15&lt;E16,3,IF(E15=E16,1,0)))</f>
      </c>
      <c r="J16" s="86">
        <f t="shared" si="2"/>
      </c>
      <c r="K16" s="73">
        <f t="shared" si="3"/>
      </c>
      <c r="L16" s="87">
        <f t="shared" si="4"/>
      </c>
    </row>
    <row r="17" spans="2:12" ht="18" customHeight="1">
      <c r="B17" s="82">
        <v>18</v>
      </c>
      <c r="C17" s="121">
        <f>VLOOKUP($B17,MatchTable!$A$3:$G$50,3)</f>
        <v>41808.75</v>
      </c>
      <c r="D17" s="122" t="str">
        <f>VLOOKUP($B17,MatchTable!$A$3:$H$50,6)</f>
        <v>CMR</v>
      </c>
      <c r="E17" s="152"/>
      <c r="F17" s="123">
        <f>IF(E18="","",E18)</f>
      </c>
      <c r="G17" s="78">
        <f>IF(E17="","",IF(E17&gt;E18,3,IF(E17=E18,1,0)))</f>
      </c>
      <c r="J17" s="86">
        <f t="shared" si="2"/>
      </c>
      <c r="K17" s="73">
        <f t="shared" si="3"/>
      </c>
      <c r="L17" s="87">
        <f t="shared" si="4"/>
      </c>
    </row>
    <row r="18" spans="2:12" ht="18" customHeight="1" thickBot="1">
      <c r="B18" s="151">
        <f>B17</f>
        <v>18</v>
      </c>
      <c r="C18" s="124">
        <f>VLOOKUP($B17,MatchTable!$A$3:$G$50,4)</f>
        <v>41809.291666666664</v>
      </c>
      <c r="D18" s="125" t="str">
        <f>VLOOKUP($B18,MatchTable!$A$3:$H$50,8)</f>
        <v>CRO</v>
      </c>
      <c r="E18" s="153"/>
      <c r="F18" s="126">
        <f>IF(E17="","",E17)</f>
      </c>
      <c r="G18" s="93">
        <f>IF(E18="","",IF(E17&lt;E18,3,IF(E17=E18,1,0)))</f>
      </c>
      <c r="J18" s="86">
        <f t="shared" si="2"/>
      </c>
      <c r="K18" s="73">
        <f t="shared" si="3"/>
      </c>
      <c r="L18" s="87">
        <f t="shared" si="4"/>
      </c>
    </row>
    <row r="19" spans="2:12" ht="18" customHeight="1">
      <c r="B19" s="82">
        <v>33</v>
      </c>
      <c r="C19" s="121">
        <f>VLOOKUP($B19,MatchTable!$A$3:$G$50,3)</f>
        <v>41813.708333333336</v>
      </c>
      <c r="D19" s="122" t="str">
        <f>VLOOKUP($B19,MatchTable!$A$3:$H$50,6)</f>
        <v>CMR</v>
      </c>
      <c r="E19" s="152"/>
      <c r="F19" s="123">
        <f>IF(E20="","",E20)</f>
      </c>
      <c r="G19" s="78">
        <f>IF(E19="","",IF(E19&gt;E20,3,IF(E19=E20,1,0)))</f>
      </c>
      <c r="J19" s="86">
        <f t="shared" si="2"/>
      </c>
      <c r="K19" s="73">
        <f t="shared" si="3"/>
      </c>
      <c r="L19" s="87">
        <f t="shared" si="4"/>
      </c>
    </row>
    <row r="20" spans="2:12" ht="18" customHeight="1" thickBot="1">
      <c r="B20" s="151">
        <f>B19</f>
        <v>33</v>
      </c>
      <c r="C20" s="124">
        <f>VLOOKUP($B19,MatchTable!$A$3:$G$50,4)</f>
        <v>41814.208333333336</v>
      </c>
      <c r="D20" s="125" t="str">
        <f>VLOOKUP($B20,MatchTable!$A$3:$H$50,8)</f>
        <v>BRA</v>
      </c>
      <c r="E20" s="153"/>
      <c r="F20" s="126">
        <f>IF(E19="","",E19)</f>
      </c>
      <c r="G20" s="93">
        <f>IF(E20="","",IF(E19&lt;E20,3,IF(E19=E20,1,0)))</f>
      </c>
      <c r="J20" s="86">
        <f t="shared" si="2"/>
      </c>
      <c r="K20" s="73">
        <f t="shared" si="3"/>
      </c>
      <c r="L20" s="87">
        <f t="shared" si="4"/>
      </c>
    </row>
    <row r="21" spans="2:12" ht="18" customHeight="1">
      <c r="B21" s="82">
        <v>34</v>
      </c>
      <c r="C21" s="121">
        <f>VLOOKUP($B21,MatchTable!$A$3:$G$50,3)</f>
        <v>41813.708333333336</v>
      </c>
      <c r="D21" s="122" t="str">
        <f>VLOOKUP($B21,MatchTable!$A$3:$H$50,6)</f>
        <v>CRO</v>
      </c>
      <c r="E21" s="152"/>
      <c r="F21" s="123">
        <f>IF(E22="","",E22)</f>
      </c>
      <c r="G21" s="78">
        <f>IF(E21="","",IF(E21&gt;E22,3,IF(E21=E22,1,0)))</f>
      </c>
      <c r="J21" s="86">
        <f t="shared" si="2"/>
      </c>
      <c r="K21" s="73">
        <f t="shared" si="3"/>
      </c>
      <c r="L21" s="87">
        <f t="shared" si="4"/>
      </c>
    </row>
    <row r="22" spans="2:12" ht="18" customHeight="1" thickBot="1">
      <c r="B22" s="151">
        <f>B21</f>
        <v>34</v>
      </c>
      <c r="C22" s="124">
        <f>VLOOKUP($B21,MatchTable!$A$3:$G$50,4)</f>
        <v>41814.208333333336</v>
      </c>
      <c r="D22" s="125" t="str">
        <f>VLOOKUP($B22,MatchTable!$A$3:$H$50,8)</f>
        <v>MEX</v>
      </c>
      <c r="E22" s="153"/>
      <c r="F22" s="126">
        <f>IF(E21="","",E21)</f>
      </c>
      <c r="G22" s="93">
        <f>IF(E22="","",IF(E21&lt;E22,3,IF(E21=E22,1,0)))</f>
      </c>
      <c r="J22" s="104">
        <f t="shared" si="2"/>
      </c>
      <c r="K22" s="105">
        <f t="shared" si="3"/>
      </c>
      <c r="L22" s="106">
        <f t="shared" si="4"/>
      </c>
    </row>
  </sheetData>
  <printOptions/>
  <pageMargins left="0.75" right="0.75" top="1" bottom="1" header="0.512" footer="0.512"/>
  <pageSetup horizontalDpi="600" verticalDpi="600" orientation="portrait" paperSize="9" r:id="rId1"/>
  <ignoredErrors>
    <ignoredError sqref="C12:D12 F12:G12 F14:G14 C20:D20 C18:D18 C14:D14 F20:G20 F18:G18 C16:D16 F16:G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E15" sqref="E15"/>
    </sheetView>
  </sheetViews>
  <sheetFormatPr defaultColWidth="8.796875" defaultRowHeight="18" customHeight="1"/>
  <cols>
    <col min="1" max="1" width="3.59765625" style="39" customWidth="1"/>
    <col min="2" max="2" width="3.09765625" style="39" customWidth="1"/>
    <col min="3" max="3" width="13.09765625" style="39" customWidth="1"/>
    <col min="4" max="4" width="5.59765625" style="42" customWidth="1"/>
    <col min="5" max="6" width="7.09765625" style="42" customWidth="1"/>
    <col min="7" max="8" width="7.09765625" style="42" bestFit="1" customWidth="1"/>
    <col min="9" max="9" width="2.3984375" style="39" customWidth="1"/>
    <col min="10" max="12" width="3.59765625" style="39" customWidth="1"/>
    <col min="13" max="13" width="2.3984375" style="39" customWidth="1"/>
    <col min="14" max="15" width="5.09765625" style="39" customWidth="1"/>
    <col min="16" max="16" width="1.59765625" style="39" customWidth="1"/>
    <col min="17" max="16384" width="9" style="39" customWidth="1"/>
  </cols>
  <sheetData>
    <row r="1" spans="2:9" ht="18" customHeight="1">
      <c r="B1" s="23" t="s">
        <v>402</v>
      </c>
      <c r="C1" s="23"/>
      <c r="D1" s="40"/>
      <c r="E1" s="40"/>
      <c r="F1" s="40"/>
      <c r="G1" s="41"/>
      <c r="H1" s="12"/>
      <c r="I1" s="12"/>
    </row>
    <row r="2" spans="2:3" ht="18" customHeight="1">
      <c r="B2" s="40" t="s">
        <v>27</v>
      </c>
      <c r="C2" s="23" t="s">
        <v>0</v>
      </c>
    </row>
    <row r="3" spans="1:15" ht="18" customHeight="1" thickBot="1">
      <c r="A3" s="43" t="s">
        <v>28</v>
      </c>
      <c r="C3" s="39" t="s">
        <v>1</v>
      </c>
      <c r="D3" s="9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/>
      <c r="J3" s="42" t="s">
        <v>7</v>
      </c>
      <c r="K3" s="42" t="s">
        <v>8</v>
      </c>
      <c r="L3" s="42" t="s">
        <v>9</v>
      </c>
      <c r="N3" s="42"/>
      <c r="O3" s="42" t="s">
        <v>10</v>
      </c>
    </row>
    <row r="4" spans="1:15" ht="18" customHeight="1">
      <c r="A4" s="44" t="str">
        <f>$B$2&amp;O4</f>
        <v>B4</v>
      </c>
      <c r="B4" s="45"/>
      <c r="C4" s="46" t="s">
        <v>375</v>
      </c>
      <c r="D4" s="47" t="s">
        <v>327</v>
      </c>
      <c r="E4" s="48">
        <f aca="true" t="shared" si="0" ref="E4:G7">SUMIF($D$11:$D$22,$D4,E$11:E$22)</f>
        <v>1</v>
      </c>
      <c r="F4" s="48">
        <f t="shared" si="0"/>
        <v>5</v>
      </c>
      <c r="G4" s="48">
        <f t="shared" si="0"/>
        <v>0</v>
      </c>
      <c r="H4" s="49">
        <f>E4-F4</f>
        <v>-4</v>
      </c>
      <c r="I4" s="50"/>
      <c r="J4" s="51">
        <f aca="true" t="shared" si="1" ref="J4:L7">COUNTIF(J$11:J$22,$D4)</f>
        <v>0</v>
      </c>
      <c r="K4" s="52">
        <f t="shared" si="1"/>
        <v>0</v>
      </c>
      <c r="L4" s="53">
        <f t="shared" si="1"/>
        <v>1</v>
      </c>
      <c r="M4" s="12"/>
      <c r="N4" s="54">
        <f>G4*10000+(H4+50)*100+E4</f>
        <v>4601</v>
      </c>
      <c r="O4" s="49">
        <f>RANK(N4,$N$4:$N$7)</f>
        <v>4</v>
      </c>
    </row>
    <row r="5" spans="1:15" ht="18" customHeight="1">
      <c r="A5" s="44" t="str">
        <f>$B$2&amp;O5</f>
        <v>B1</v>
      </c>
      <c r="B5" s="55"/>
      <c r="C5" s="56" t="s">
        <v>376</v>
      </c>
      <c r="D5" s="57" t="s">
        <v>316</v>
      </c>
      <c r="E5" s="58">
        <f t="shared" si="0"/>
        <v>5</v>
      </c>
      <c r="F5" s="58">
        <f t="shared" si="0"/>
        <v>1</v>
      </c>
      <c r="G5" s="58">
        <f t="shared" si="0"/>
        <v>3</v>
      </c>
      <c r="H5" s="59">
        <f>E5-F5</f>
        <v>4</v>
      </c>
      <c r="I5" s="50"/>
      <c r="J5" s="60">
        <f t="shared" si="1"/>
        <v>1</v>
      </c>
      <c r="K5" s="61">
        <f t="shared" si="1"/>
        <v>0</v>
      </c>
      <c r="L5" s="62">
        <f t="shared" si="1"/>
        <v>0</v>
      </c>
      <c r="M5" s="12"/>
      <c r="N5" s="63">
        <f>G5*10000+(H5+50)*100+E5</f>
        <v>35405</v>
      </c>
      <c r="O5" s="59">
        <f>RANK(N5,$N$4:$N$7)</f>
        <v>1</v>
      </c>
    </row>
    <row r="6" spans="1:15" ht="18" customHeight="1">
      <c r="A6" s="44" t="str">
        <f>$B$2&amp;O6</f>
        <v>B2</v>
      </c>
      <c r="B6" s="55"/>
      <c r="C6" s="56" t="s">
        <v>377</v>
      </c>
      <c r="D6" s="57" t="s">
        <v>350</v>
      </c>
      <c r="E6" s="58">
        <f t="shared" si="0"/>
        <v>3</v>
      </c>
      <c r="F6" s="58">
        <f t="shared" si="0"/>
        <v>1</v>
      </c>
      <c r="G6" s="58">
        <f t="shared" si="0"/>
        <v>3</v>
      </c>
      <c r="H6" s="59">
        <f>E6-F6</f>
        <v>2</v>
      </c>
      <c r="I6" s="50"/>
      <c r="J6" s="60">
        <f t="shared" si="1"/>
        <v>1</v>
      </c>
      <c r="K6" s="61">
        <f t="shared" si="1"/>
        <v>0</v>
      </c>
      <c r="L6" s="62">
        <f t="shared" si="1"/>
        <v>0</v>
      </c>
      <c r="M6" s="12"/>
      <c r="N6" s="63">
        <f>G6*10000+(H6+50)*100+E6</f>
        <v>35203</v>
      </c>
      <c r="O6" s="59">
        <f>RANK(N6,$N$4:$N$7)</f>
        <v>2</v>
      </c>
    </row>
    <row r="7" spans="1:15" ht="18" customHeight="1" thickBot="1">
      <c r="A7" s="44" t="str">
        <f>$B$2&amp;O7</f>
        <v>B3</v>
      </c>
      <c r="B7" s="64"/>
      <c r="C7" s="65" t="s">
        <v>378</v>
      </c>
      <c r="D7" s="66" t="s">
        <v>266</v>
      </c>
      <c r="E7" s="67">
        <f t="shared" si="0"/>
        <v>1</v>
      </c>
      <c r="F7" s="67">
        <f t="shared" si="0"/>
        <v>3</v>
      </c>
      <c r="G7" s="67">
        <f t="shared" si="0"/>
        <v>0</v>
      </c>
      <c r="H7" s="68">
        <f>E7-F7</f>
        <v>-2</v>
      </c>
      <c r="I7" s="50"/>
      <c r="J7" s="69">
        <f t="shared" si="1"/>
        <v>0</v>
      </c>
      <c r="K7" s="70">
        <f t="shared" si="1"/>
        <v>0</v>
      </c>
      <c r="L7" s="71">
        <f t="shared" si="1"/>
        <v>1</v>
      </c>
      <c r="M7" s="12"/>
      <c r="N7" s="72">
        <f>G7*10000+(H7+50)*100+E7</f>
        <v>4801</v>
      </c>
      <c r="O7" s="68">
        <f>RANK(N7,$N$4:$N$7)</f>
        <v>3</v>
      </c>
    </row>
    <row r="8" spans="4:8" ht="18" customHeight="1">
      <c r="D8" s="39"/>
      <c r="E8" s="73">
        <f>SUM(E4:E7)</f>
        <v>10</v>
      </c>
      <c r="F8" s="73">
        <f>SUM(F4:F7)</f>
        <v>10</v>
      </c>
      <c r="G8" s="73">
        <f>SUM(G4:G7)</f>
        <v>6</v>
      </c>
      <c r="H8" s="73">
        <f>SUM(H4:H7)</f>
        <v>0</v>
      </c>
    </row>
    <row r="9" spans="3:7" ht="18" customHeight="1">
      <c r="C9" s="42" t="s">
        <v>116</v>
      </c>
      <c r="D9" s="39"/>
      <c r="E9" s="74" t="s">
        <v>11</v>
      </c>
      <c r="F9" s="74"/>
      <c r="G9" s="75"/>
    </row>
    <row r="10" spans="2:12" ht="18" customHeight="1" thickBot="1">
      <c r="B10" s="111" t="s">
        <v>115</v>
      </c>
      <c r="C10" s="9" t="s">
        <v>117</v>
      </c>
      <c r="D10" s="42" t="s">
        <v>12</v>
      </c>
      <c r="E10" s="42" t="s">
        <v>13</v>
      </c>
      <c r="F10" s="42" t="s">
        <v>14</v>
      </c>
      <c r="G10" s="42" t="s">
        <v>15</v>
      </c>
      <c r="J10" s="42" t="s">
        <v>7</v>
      </c>
      <c r="K10" s="42" t="s">
        <v>8</v>
      </c>
      <c r="L10" s="42" t="s">
        <v>9</v>
      </c>
    </row>
    <row r="11" spans="2:12" ht="18" customHeight="1">
      <c r="B11" s="82">
        <v>3</v>
      </c>
      <c r="C11" s="121">
        <f>VLOOKUP($B11,MatchTable!$A$3:$G$50,3)</f>
        <v>41803.666666666664</v>
      </c>
      <c r="D11" s="122" t="str">
        <f>VLOOKUP($B11,MatchTable!$A$3:$H$50,6)</f>
        <v>ESP</v>
      </c>
      <c r="E11" s="152">
        <v>1</v>
      </c>
      <c r="F11" s="123">
        <f>IF(E12="","",E12)</f>
        <v>5</v>
      </c>
      <c r="G11" s="78">
        <f>IF(E11="","",IF(E11&gt;E12,3,IF(E11=E12,1,0)))</f>
        <v>0</v>
      </c>
      <c r="J11" s="79">
        <f aca="true" t="shared" si="2" ref="J11:J22">IF($E11="","",IF($G11=3,$D11,""))</f>
      </c>
      <c r="K11" s="80">
        <f aca="true" t="shared" si="3" ref="K11:K22">IF($E11="","",IF($G11=1,$D11,""))</f>
      </c>
      <c r="L11" s="81" t="str">
        <f aca="true" t="shared" si="4" ref="L11:L22">IF($E11="","",IF($G11=0,$D11,""))</f>
        <v>ESP</v>
      </c>
    </row>
    <row r="12" spans="2:12" ht="18" customHeight="1" thickBot="1">
      <c r="B12" s="151">
        <f>B11</f>
        <v>3</v>
      </c>
      <c r="C12" s="124">
        <f>VLOOKUP($B12,MatchTable!$A$3:$G$50,4)</f>
        <v>41804.166666666664</v>
      </c>
      <c r="D12" s="125" t="str">
        <f>VLOOKUP($B12,MatchTable!$A$3:$H$50,8)</f>
        <v>NED</v>
      </c>
      <c r="E12" s="153">
        <v>5</v>
      </c>
      <c r="F12" s="126">
        <f>IF(E11="","",E11)</f>
        <v>1</v>
      </c>
      <c r="G12" s="93">
        <f>IF(E12="","",IF(E11&lt;E12,3,IF(E11=E12,1,0)))</f>
        <v>3</v>
      </c>
      <c r="J12" s="86" t="str">
        <f t="shared" si="2"/>
        <v>NED</v>
      </c>
      <c r="K12" s="73">
        <f t="shared" si="3"/>
      </c>
      <c r="L12" s="87">
        <f t="shared" si="4"/>
      </c>
    </row>
    <row r="13" spans="2:12" ht="18" customHeight="1">
      <c r="B13" s="82">
        <v>4</v>
      </c>
      <c r="C13" s="121">
        <f>VLOOKUP($B13,MatchTable!$A$3:$G$50,3)</f>
        <v>41803.75</v>
      </c>
      <c r="D13" s="122" t="str">
        <f>VLOOKUP($B13,MatchTable!$A$3:$H$50,6)</f>
        <v>CHI</v>
      </c>
      <c r="E13" s="152">
        <v>3</v>
      </c>
      <c r="F13" s="123">
        <f>IF(E14="","",E14)</f>
        <v>1</v>
      </c>
      <c r="G13" s="78">
        <f>IF(E13="","",IF(E13&gt;E14,3,IF(E13=E14,1,0)))</f>
        <v>3</v>
      </c>
      <c r="J13" s="86" t="str">
        <f t="shared" si="2"/>
        <v>CHI</v>
      </c>
      <c r="K13" s="73">
        <f t="shared" si="3"/>
      </c>
      <c r="L13" s="87">
        <f t="shared" si="4"/>
      </c>
    </row>
    <row r="14" spans="2:12" ht="18" customHeight="1" thickBot="1">
      <c r="B14" s="151">
        <f>B13</f>
        <v>4</v>
      </c>
      <c r="C14" s="124">
        <f>VLOOKUP($B14,MatchTable!$A$3:$G$50,4)</f>
        <v>41804.291666666664</v>
      </c>
      <c r="D14" s="125" t="str">
        <f>VLOOKUP($B14,MatchTable!$A$3:$H$50,8)</f>
        <v>AUS</v>
      </c>
      <c r="E14" s="153">
        <v>1</v>
      </c>
      <c r="F14" s="126">
        <f>IF(E13="","",E13)</f>
        <v>3</v>
      </c>
      <c r="G14" s="93">
        <f>IF(E14="","",IF(E13&lt;E14,3,IF(E13=E14,1,0)))</f>
        <v>0</v>
      </c>
      <c r="J14" s="86">
        <f t="shared" si="2"/>
      </c>
      <c r="K14" s="73">
        <f t="shared" si="3"/>
      </c>
      <c r="L14" s="87" t="str">
        <f t="shared" si="4"/>
        <v>AUS</v>
      </c>
    </row>
    <row r="15" spans="2:12" ht="18" customHeight="1">
      <c r="B15" s="82">
        <v>20</v>
      </c>
      <c r="C15" s="121">
        <f>VLOOKUP($B15,MatchTable!$A$3:$G$50,3)</f>
        <v>41808.541666666664</v>
      </c>
      <c r="D15" s="122" t="str">
        <f>VLOOKUP($B15,MatchTable!$A$3:$H$50,6)</f>
        <v>AUS</v>
      </c>
      <c r="E15" s="152"/>
      <c r="F15" s="123">
        <f>IF(E16="","",E16)</f>
      </c>
      <c r="G15" s="78">
        <f>IF(E15="","",IF(E15&gt;E16,3,IF(E15=E16,1,0)))</f>
      </c>
      <c r="J15" s="86">
        <f t="shared" si="2"/>
      </c>
      <c r="K15" s="73">
        <f t="shared" si="3"/>
      </c>
      <c r="L15" s="87">
        <f t="shared" si="4"/>
      </c>
    </row>
    <row r="16" spans="2:12" ht="18" customHeight="1" thickBot="1">
      <c r="B16" s="151">
        <f>B15</f>
        <v>20</v>
      </c>
      <c r="C16" s="124">
        <f>VLOOKUP($B16,MatchTable!$A$3:$G$50,4)</f>
        <v>41809.041666666664</v>
      </c>
      <c r="D16" s="125" t="str">
        <f>VLOOKUP($B16,MatchTable!$A$3:$H$50,8)</f>
        <v>NED</v>
      </c>
      <c r="E16" s="153"/>
      <c r="F16" s="126">
        <f>IF(E15="","",E15)</f>
      </c>
      <c r="G16" s="93">
        <f>IF(E16="","",IF(E15&lt;E16,3,IF(E15=E16,1,0)))</f>
      </c>
      <c r="J16" s="86">
        <f t="shared" si="2"/>
      </c>
      <c r="K16" s="73">
        <f t="shared" si="3"/>
      </c>
      <c r="L16" s="87">
        <f t="shared" si="4"/>
      </c>
    </row>
    <row r="17" spans="2:12" ht="18" customHeight="1">
      <c r="B17" s="82">
        <v>19</v>
      </c>
      <c r="C17" s="121">
        <f>VLOOKUP($B17,MatchTable!$A$3:$G$50,3)</f>
        <v>41808.666666666664</v>
      </c>
      <c r="D17" s="122" t="str">
        <f>VLOOKUP($B17,MatchTable!$A$3:$H$50,6)</f>
        <v>ESP</v>
      </c>
      <c r="E17" s="152"/>
      <c r="F17" s="123">
        <f>IF(E18="","",E18)</f>
      </c>
      <c r="G17" s="78">
        <f>IF(E17="","",IF(E17&gt;E18,3,IF(E17=E18,1,0)))</f>
      </c>
      <c r="J17" s="86">
        <f t="shared" si="2"/>
      </c>
      <c r="K17" s="73">
        <f t="shared" si="3"/>
      </c>
      <c r="L17" s="87">
        <f t="shared" si="4"/>
      </c>
    </row>
    <row r="18" spans="2:12" ht="18" customHeight="1" thickBot="1">
      <c r="B18" s="151">
        <f>B17</f>
        <v>19</v>
      </c>
      <c r="C18" s="124">
        <f>VLOOKUP($B18,MatchTable!$A$3:$G$50,4)</f>
        <v>41809.166666666664</v>
      </c>
      <c r="D18" s="125" t="str">
        <f>VLOOKUP($B18,MatchTable!$A$3:$H$50,8)</f>
        <v>CHI</v>
      </c>
      <c r="E18" s="153"/>
      <c r="F18" s="126">
        <f>IF(E17="","",E17)</f>
      </c>
      <c r="G18" s="93">
        <f>IF(E18="","",IF(E17&lt;E18,3,IF(E17=E18,1,0)))</f>
      </c>
      <c r="J18" s="86">
        <f t="shared" si="2"/>
      </c>
      <c r="K18" s="73">
        <f t="shared" si="3"/>
      </c>
      <c r="L18" s="87">
        <f t="shared" si="4"/>
      </c>
    </row>
    <row r="19" spans="2:12" ht="18" customHeight="1">
      <c r="B19" s="82">
        <v>35</v>
      </c>
      <c r="C19" s="121">
        <f>VLOOKUP($B19,MatchTable!$A$3:$G$50,3)</f>
        <v>41813.541666666664</v>
      </c>
      <c r="D19" s="122" t="str">
        <f>VLOOKUP($B19,MatchTable!$A$3:$H$50,6)</f>
        <v>AUS</v>
      </c>
      <c r="E19" s="152"/>
      <c r="F19" s="123">
        <f>IF(E20="","",E20)</f>
      </c>
      <c r="G19" s="78">
        <f>IF(E19="","",IF(E19&gt;E20,3,IF(E19=E20,1,0)))</f>
      </c>
      <c r="J19" s="86">
        <f t="shared" si="2"/>
      </c>
      <c r="K19" s="73">
        <f t="shared" si="3"/>
      </c>
      <c r="L19" s="87">
        <f t="shared" si="4"/>
      </c>
    </row>
    <row r="20" spans="2:12" ht="18" customHeight="1" thickBot="1">
      <c r="B20" s="151">
        <f>B19</f>
        <v>35</v>
      </c>
      <c r="C20" s="124">
        <f>VLOOKUP($B20,MatchTable!$A$3:$G$50,4)</f>
        <v>41814.041666666664</v>
      </c>
      <c r="D20" s="125" t="str">
        <f>VLOOKUP($B20,MatchTable!$A$3:$H$50,8)</f>
        <v>ESP</v>
      </c>
      <c r="E20" s="153"/>
      <c r="F20" s="126">
        <f>IF(E19="","",E19)</f>
      </c>
      <c r="G20" s="93">
        <f>IF(E20="","",IF(E19&lt;E20,3,IF(E19=E20,1,0)))</f>
      </c>
      <c r="J20" s="86">
        <f t="shared" si="2"/>
      </c>
      <c r="K20" s="73">
        <f t="shared" si="3"/>
      </c>
      <c r="L20" s="87">
        <f t="shared" si="4"/>
      </c>
    </row>
    <row r="21" spans="2:12" ht="18" customHeight="1">
      <c r="B21" s="82">
        <v>36</v>
      </c>
      <c r="C21" s="121">
        <f>VLOOKUP($B21,MatchTable!$A$3:$G$50,3)</f>
        <v>41813.541666666664</v>
      </c>
      <c r="D21" s="122" t="str">
        <f>VLOOKUP($B21,MatchTable!$A$3:$H$50,6)</f>
        <v>NED</v>
      </c>
      <c r="E21" s="152"/>
      <c r="F21" s="123">
        <f>IF(E22="","",E22)</f>
      </c>
      <c r="G21" s="78">
        <f>IF(E21="","",IF(E21&gt;E22,3,IF(E21=E22,1,0)))</f>
      </c>
      <c r="J21" s="86">
        <f t="shared" si="2"/>
      </c>
      <c r="K21" s="73">
        <f t="shared" si="3"/>
      </c>
      <c r="L21" s="87">
        <f t="shared" si="4"/>
      </c>
    </row>
    <row r="22" spans="2:12" ht="18" customHeight="1" thickBot="1">
      <c r="B22" s="151">
        <f>B21</f>
        <v>36</v>
      </c>
      <c r="C22" s="124">
        <f>VLOOKUP($B22,MatchTable!$A$3:$G$50,4)</f>
        <v>41814.041666666664</v>
      </c>
      <c r="D22" s="125" t="str">
        <f>VLOOKUP($B22,MatchTable!$A$3:$H$50,8)</f>
        <v>CHI</v>
      </c>
      <c r="E22" s="153"/>
      <c r="F22" s="126">
        <f>IF(E21="","",E21)</f>
      </c>
      <c r="G22" s="93">
        <f>IF(E22="","",IF(E21&lt;E22,3,IF(E21=E22,1,0)))</f>
      </c>
      <c r="J22" s="104">
        <f t="shared" si="2"/>
      </c>
      <c r="K22" s="105">
        <f t="shared" si="3"/>
      </c>
      <c r="L22" s="106">
        <f t="shared" si="4"/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E15" sqref="E15"/>
    </sheetView>
  </sheetViews>
  <sheetFormatPr defaultColWidth="8.796875" defaultRowHeight="18" customHeight="1"/>
  <cols>
    <col min="1" max="1" width="3.59765625" style="39" customWidth="1"/>
    <col min="2" max="2" width="3.09765625" style="39" customWidth="1"/>
    <col min="3" max="3" width="13.09765625" style="39" customWidth="1"/>
    <col min="4" max="4" width="5.59765625" style="42" customWidth="1"/>
    <col min="5" max="6" width="7.09765625" style="42" customWidth="1"/>
    <col min="7" max="8" width="7.09765625" style="42" bestFit="1" customWidth="1"/>
    <col min="9" max="9" width="2.3984375" style="39" customWidth="1"/>
    <col min="10" max="12" width="3.59765625" style="39" customWidth="1"/>
    <col min="13" max="13" width="2.3984375" style="39" customWidth="1"/>
    <col min="14" max="14" width="5.09765625" style="39" customWidth="1"/>
    <col min="15" max="15" width="5.09765625" style="39" bestFit="1" customWidth="1"/>
    <col min="16" max="16" width="1.59765625" style="39" customWidth="1"/>
    <col min="17" max="16384" width="9" style="39" customWidth="1"/>
  </cols>
  <sheetData>
    <row r="1" spans="2:9" ht="18" customHeight="1">
      <c r="B1" s="23" t="s">
        <v>402</v>
      </c>
      <c r="C1" s="23"/>
      <c r="D1" s="40"/>
      <c r="E1" s="40"/>
      <c r="F1" s="40"/>
      <c r="G1" s="41"/>
      <c r="H1" s="12"/>
      <c r="I1" s="12"/>
    </row>
    <row r="2" spans="2:3" ht="18" customHeight="1">
      <c r="B2" s="40" t="s">
        <v>29</v>
      </c>
      <c r="C2" s="23" t="s">
        <v>0</v>
      </c>
    </row>
    <row r="3" spans="1:15" ht="18" customHeight="1" thickBot="1">
      <c r="A3" s="43" t="s">
        <v>28</v>
      </c>
      <c r="C3" s="39" t="s">
        <v>1</v>
      </c>
      <c r="D3" s="9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/>
      <c r="J3" s="42" t="s">
        <v>7</v>
      </c>
      <c r="K3" s="42" t="s">
        <v>8</v>
      </c>
      <c r="L3" s="42" t="s">
        <v>9</v>
      </c>
      <c r="N3" s="42"/>
      <c r="O3" s="42" t="s">
        <v>10</v>
      </c>
    </row>
    <row r="4" spans="1:15" ht="18" customHeight="1">
      <c r="A4" s="107" t="str">
        <f>$B$2&amp;O4</f>
        <v>C1</v>
      </c>
      <c r="B4" s="45"/>
      <c r="C4" s="46" t="s">
        <v>379</v>
      </c>
      <c r="D4" s="47" t="s">
        <v>354</v>
      </c>
      <c r="E4" s="48">
        <f aca="true" t="shared" si="0" ref="E4:G7">SUMIF($D$11:$D$22,$D4,E$11:E$22)</f>
        <v>3</v>
      </c>
      <c r="F4" s="48">
        <f t="shared" si="0"/>
        <v>0</v>
      </c>
      <c r="G4" s="48">
        <f t="shared" si="0"/>
        <v>3</v>
      </c>
      <c r="H4" s="49">
        <f>E4-F4</f>
        <v>3</v>
      </c>
      <c r="I4" s="50"/>
      <c r="J4" s="51">
        <f aca="true" t="shared" si="1" ref="J4:L7">COUNTIF(J$11:J$22,$D4)</f>
        <v>1</v>
      </c>
      <c r="K4" s="52">
        <f t="shared" si="1"/>
        <v>0</v>
      </c>
      <c r="L4" s="53">
        <f t="shared" si="1"/>
        <v>0</v>
      </c>
      <c r="M4" s="12"/>
      <c r="N4" s="54">
        <f>G4*10000+(H4+50)*100+E4</f>
        <v>35303</v>
      </c>
      <c r="O4" s="49">
        <f>RANK(N4,$N$4:$N$7)</f>
        <v>1</v>
      </c>
    </row>
    <row r="5" spans="1:15" ht="18" customHeight="1">
      <c r="A5" s="107" t="str">
        <f>$B$2&amp;O5</f>
        <v>C4</v>
      </c>
      <c r="B5" s="55"/>
      <c r="C5" s="56" t="s">
        <v>380</v>
      </c>
      <c r="D5" s="57" t="s">
        <v>309</v>
      </c>
      <c r="E5" s="58">
        <f t="shared" si="0"/>
        <v>0</v>
      </c>
      <c r="F5" s="58">
        <f t="shared" si="0"/>
        <v>3</v>
      </c>
      <c r="G5" s="58">
        <f t="shared" si="0"/>
        <v>0</v>
      </c>
      <c r="H5" s="59">
        <f>E5-F5</f>
        <v>-3</v>
      </c>
      <c r="I5" s="50"/>
      <c r="J5" s="60">
        <f t="shared" si="1"/>
        <v>0</v>
      </c>
      <c r="K5" s="61">
        <f t="shared" si="1"/>
        <v>0</v>
      </c>
      <c r="L5" s="62">
        <f t="shared" si="1"/>
        <v>1</v>
      </c>
      <c r="M5" s="12"/>
      <c r="N5" s="63">
        <f>G5*10000+(H5+50)*100+E5</f>
        <v>4700</v>
      </c>
      <c r="O5" s="59">
        <f>RANK(N5,$N$4:$N$7)</f>
        <v>4</v>
      </c>
    </row>
    <row r="6" spans="1:15" ht="18" customHeight="1">
      <c r="A6" s="107" t="str">
        <f>$B$2&amp;O6</f>
        <v>C2</v>
      </c>
      <c r="B6" s="55"/>
      <c r="C6" s="207" t="s">
        <v>439</v>
      </c>
      <c r="D6" s="57" t="s">
        <v>253</v>
      </c>
      <c r="E6" s="58">
        <f t="shared" si="0"/>
        <v>2</v>
      </c>
      <c r="F6" s="58">
        <f t="shared" si="0"/>
        <v>1</v>
      </c>
      <c r="G6" s="58">
        <f t="shared" si="0"/>
        <v>3</v>
      </c>
      <c r="H6" s="59">
        <f>E6-F6</f>
        <v>1</v>
      </c>
      <c r="I6" s="50"/>
      <c r="J6" s="60">
        <f t="shared" si="1"/>
        <v>1</v>
      </c>
      <c r="K6" s="61">
        <f t="shared" si="1"/>
        <v>0</v>
      </c>
      <c r="L6" s="62">
        <f t="shared" si="1"/>
        <v>0</v>
      </c>
      <c r="M6" s="12"/>
      <c r="N6" s="63">
        <f>G6*10000+(H6+50)*100+E6</f>
        <v>35102</v>
      </c>
      <c r="O6" s="59">
        <f>RANK(N6,$N$4:$N$7)</f>
        <v>2</v>
      </c>
    </row>
    <row r="7" spans="1:15" ht="18" customHeight="1" thickBot="1">
      <c r="A7" s="107" t="str">
        <f>$B$2&amp;O7</f>
        <v>C3</v>
      </c>
      <c r="B7" s="64"/>
      <c r="C7" s="65" t="s">
        <v>381</v>
      </c>
      <c r="D7" s="66" t="s">
        <v>275</v>
      </c>
      <c r="E7" s="67">
        <f t="shared" si="0"/>
        <v>1</v>
      </c>
      <c r="F7" s="67">
        <f t="shared" si="0"/>
        <v>2</v>
      </c>
      <c r="G7" s="67">
        <f t="shared" si="0"/>
        <v>0</v>
      </c>
      <c r="H7" s="68">
        <f>E7-F7</f>
        <v>-1</v>
      </c>
      <c r="I7" s="50"/>
      <c r="J7" s="69">
        <f t="shared" si="1"/>
        <v>0</v>
      </c>
      <c r="K7" s="70">
        <f t="shared" si="1"/>
        <v>0</v>
      </c>
      <c r="L7" s="71">
        <f t="shared" si="1"/>
        <v>1</v>
      </c>
      <c r="M7" s="12"/>
      <c r="N7" s="72">
        <f>G7*10000+(H7+50)*100+E7</f>
        <v>4901</v>
      </c>
      <c r="O7" s="68">
        <f>RANK(N7,$N$4:$N$7)</f>
        <v>3</v>
      </c>
    </row>
    <row r="8" spans="4:8" ht="18" customHeight="1">
      <c r="D8" s="39"/>
      <c r="E8" s="73">
        <f>SUM(E4:E7)</f>
        <v>6</v>
      </c>
      <c r="F8" s="73">
        <f>SUM(F4:F7)</f>
        <v>6</v>
      </c>
      <c r="G8" s="73">
        <f>SUM(G4:G7)</f>
        <v>6</v>
      </c>
      <c r="H8" s="73">
        <f>SUM(H4:H7)</f>
        <v>0</v>
      </c>
    </row>
    <row r="9" spans="3:7" ht="18" customHeight="1">
      <c r="C9" s="42" t="s">
        <v>116</v>
      </c>
      <c r="D9" s="39"/>
      <c r="E9" s="74" t="s">
        <v>11</v>
      </c>
      <c r="F9" s="74"/>
      <c r="G9" s="75"/>
    </row>
    <row r="10" spans="2:12" ht="18" customHeight="1" thickBot="1">
      <c r="B10" s="111" t="s">
        <v>115</v>
      </c>
      <c r="C10" s="9" t="s">
        <v>117</v>
      </c>
      <c r="D10" s="42" t="s">
        <v>12</v>
      </c>
      <c r="E10" s="42" t="s">
        <v>13</v>
      </c>
      <c r="F10" s="42" t="s">
        <v>14</v>
      </c>
      <c r="G10" s="42" t="s">
        <v>15</v>
      </c>
      <c r="J10" s="42" t="s">
        <v>7</v>
      </c>
      <c r="K10" s="42" t="s">
        <v>8</v>
      </c>
      <c r="L10" s="42" t="s">
        <v>9</v>
      </c>
    </row>
    <row r="11" spans="2:12" ht="18" customHeight="1">
      <c r="B11" s="82">
        <v>5</v>
      </c>
      <c r="C11" s="121">
        <f>VLOOKUP($B11,MatchTable!$A$3:$G$50,3)</f>
        <v>41804.541666666664</v>
      </c>
      <c r="D11" s="122" t="str">
        <f>VLOOKUP($B11,MatchTable!$A$3:$H$50,6)</f>
        <v>COL</v>
      </c>
      <c r="E11" s="76">
        <v>3</v>
      </c>
      <c r="F11" s="77">
        <f>IF(E12="","",E12)</f>
        <v>0</v>
      </c>
      <c r="G11" s="78">
        <f>IF(E11="","",IF(E11&gt;E12,3,IF(E11=E12,1,0)))</f>
        <v>3</v>
      </c>
      <c r="H11" s="222" t="str">
        <f>VLOOKUP($B11,MatchTable!$A$3:$J$50,10)</f>
        <v>Belo Horizonte</v>
      </c>
      <c r="J11" s="79" t="str">
        <f aca="true" t="shared" si="2" ref="J11:J22">IF($E11="","",IF($G11=3,$D11,""))</f>
        <v>COL</v>
      </c>
      <c r="K11" s="80">
        <f aca="true" t="shared" si="3" ref="K11:K22">IF($E11="","",IF($G11=1,$D11,""))</f>
      </c>
      <c r="L11" s="81">
        <f aca="true" t="shared" si="4" ref="L11:L22">IF($E11="","",IF($G11=0,$D11,""))</f>
      </c>
    </row>
    <row r="12" spans="2:12" ht="18" customHeight="1" thickBot="1">
      <c r="B12" s="151">
        <f>B11</f>
        <v>5</v>
      </c>
      <c r="C12" s="124">
        <f>VLOOKUP($B12,MatchTable!$A$3:$G$50,4)</f>
        <v>41805.041666666664</v>
      </c>
      <c r="D12" s="125" t="str">
        <f>VLOOKUP($B12,MatchTable!$A$3:$H$50,8)</f>
        <v>GRE</v>
      </c>
      <c r="E12" s="83">
        <v>0</v>
      </c>
      <c r="F12" s="84">
        <f>IF(E11="","",E11)</f>
        <v>3</v>
      </c>
      <c r="G12" s="85">
        <f>IF(E12="","",IF(E11&lt;E12,3,IF(E11=E12,1,0)))</f>
        <v>0</v>
      </c>
      <c r="H12" s="223"/>
      <c r="J12" s="86">
        <f t="shared" si="2"/>
      </c>
      <c r="K12" s="73">
        <f t="shared" si="3"/>
      </c>
      <c r="L12" s="87" t="str">
        <f t="shared" si="4"/>
        <v>GRE</v>
      </c>
    </row>
    <row r="13" spans="2:12" ht="18" customHeight="1">
      <c r="B13" s="82">
        <v>6</v>
      </c>
      <c r="C13" s="121">
        <f>VLOOKUP($B13,MatchTable!$A$3:$G$50,3)</f>
        <v>41804.916666666664</v>
      </c>
      <c r="D13" s="122" t="str">
        <f>VLOOKUP($B13,MatchTable!$A$3:$H$50,6)</f>
        <v>CIV</v>
      </c>
      <c r="E13" s="88">
        <v>2</v>
      </c>
      <c r="F13" s="89">
        <f>IF(E14="","",E14)</f>
        <v>1</v>
      </c>
      <c r="G13" s="90">
        <f>IF(E13="","",IF(E13&gt;E14,3,IF(E13=E14,1,0)))</f>
        <v>3</v>
      </c>
      <c r="H13" s="222" t="str">
        <f>VLOOKUP($B13,MatchTable!$A$3:$J$50,10)</f>
        <v>Recife</v>
      </c>
      <c r="J13" s="86" t="str">
        <f t="shared" si="2"/>
        <v>CIV</v>
      </c>
      <c r="K13" s="73">
        <f t="shared" si="3"/>
      </c>
      <c r="L13" s="87">
        <f t="shared" si="4"/>
      </c>
    </row>
    <row r="14" spans="2:12" ht="18" customHeight="1" thickBot="1">
      <c r="B14" s="151">
        <f>B13</f>
        <v>6</v>
      </c>
      <c r="C14" s="124">
        <f>VLOOKUP($B14,MatchTable!$A$3:$G$50,4)</f>
        <v>41805.416666666664</v>
      </c>
      <c r="D14" s="125" t="str">
        <f>VLOOKUP($B14,MatchTable!$A$3:$H$50,8)</f>
        <v>JPN</v>
      </c>
      <c r="E14" s="91">
        <v>1</v>
      </c>
      <c r="F14" s="92">
        <f>IF(E13="","",E13)</f>
        <v>2</v>
      </c>
      <c r="G14" s="93">
        <f>IF(E14="","",IF(E13&lt;E14,3,IF(E13=E14,1,0)))</f>
        <v>0</v>
      </c>
      <c r="H14" s="223"/>
      <c r="J14" s="86">
        <f t="shared" si="2"/>
      </c>
      <c r="K14" s="73">
        <f t="shared" si="3"/>
      </c>
      <c r="L14" s="87" t="str">
        <f t="shared" si="4"/>
        <v>JPN</v>
      </c>
    </row>
    <row r="15" spans="2:12" ht="18" customHeight="1">
      <c r="B15" s="82">
        <v>21</v>
      </c>
      <c r="C15" s="121">
        <f>VLOOKUP($B15,MatchTable!$A$3:$G$50,3)</f>
        <v>41809.541666666664</v>
      </c>
      <c r="D15" s="122" t="str">
        <f>VLOOKUP($B15,MatchTable!$A$3:$H$50,6)</f>
        <v>COL</v>
      </c>
      <c r="E15" s="76"/>
      <c r="F15" s="77">
        <f>IF(E16="","",E16)</f>
      </c>
      <c r="G15" s="78">
        <f>IF(E15="","",IF(E15&gt;E16,3,IF(E15=E16,1,0)))</f>
      </c>
      <c r="H15" s="222" t="str">
        <f>VLOOKUP($B15,MatchTable!$A$3:$J$50,10)</f>
        <v>Brasilia</v>
      </c>
      <c r="J15" s="86">
        <f t="shared" si="2"/>
      </c>
      <c r="K15" s="73">
        <f t="shared" si="3"/>
      </c>
      <c r="L15" s="87">
        <f t="shared" si="4"/>
      </c>
    </row>
    <row r="16" spans="2:12" ht="18" customHeight="1" thickBot="1">
      <c r="B16" s="151">
        <f>B15</f>
        <v>21</v>
      </c>
      <c r="C16" s="124">
        <f>VLOOKUP($B16,MatchTable!$A$3:$G$50,4)</f>
        <v>41810.041666666664</v>
      </c>
      <c r="D16" s="125" t="str">
        <f>VLOOKUP($B16,MatchTable!$A$3:$H$50,8)</f>
        <v>CIV</v>
      </c>
      <c r="E16" s="94"/>
      <c r="F16" s="95">
        <f>IF(E15="","",E15)</f>
      </c>
      <c r="G16" s="96">
        <f>IF(E16="","",IF(E15&lt;E16,3,IF(E15=E16,1,0)))</f>
      </c>
      <c r="H16" s="223"/>
      <c r="J16" s="86">
        <f t="shared" si="2"/>
      </c>
      <c r="K16" s="73">
        <f t="shared" si="3"/>
      </c>
      <c r="L16" s="87">
        <f t="shared" si="4"/>
      </c>
    </row>
    <row r="17" spans="2:12" ht="18" customHeight="1">
      <c r="B17" s="82">
        <v>22</v>
      </c>
      <c r="C17" s="121">
        <f>VLOOKUP($B17,MatchTable!$A$3:$G$50,3)</f>
        <v>41809.791666666664</v>
      </c>
      <c r="D17" s="122" t="str">
        <f>VLOOKUP($B17,MatchTable!$A$3:$H$50,6)</f>
        <v>JPN</v>
      </c>
      <c r="E17" s="97"/>
      <c r="F17" s="98">
        <f>IF(E18="","",E18)</f>
      </c>
      <c r="G17" s="99">
        <f>IF(E17="","",IF(E17&gt;E18,3,IF(E17=E18,1,0)))</f>
      </c>
      <c r="H17" s="222" t="str">
        <f>VLOOKUP($B17,MatchTable!$A$3:$J$50,10)</f>
        <v>Natal</v>
      </c>
      <c r="J17" s="86">
        <f t="shared" si="2"/>
      </c>
      <c r="K17" s="73">
        <f t="shared" si="3"/>
      </c>
      <c r="L17" s="87">
        <f t="shared" si="4"/>
      </c>
    </row>
    <row r="18" spans="2:12" ht="18" customHeight="1" thickBot="1">
      <c r="B18" s="151">
        <f>B17</f>
        <v>22</v>
      </c>
      <c r="C18" s="124">
        <f>VLOOKUP($B18,MatchTable!$A$3:$G$50,4)</f>
        <v>41810.291666666664</v>
      </c>
      <c r="D18" s="125" t="str">
        <f>VLOOKUP($B18,MatchTable!$A$3:$H$50,8)</f>
        <v>GRE</v>
      </c>
      <c r="E18" s="91"/>
      <c r="F18" s="92">
        <f>IF(E17="","",E17)</f>
      </c>
      <c r="G18" s="93">
        <f>IF(E18="","",IF(E17&lt;E18,3,IF(E17=E18,1,0)))</f>
      </c>
      <c r="H18" s="223"/>
      <c r="J18" s="86">
        <f t="shared" si="2"/>
      </c>
      <c r="K18" s="73">
        <f t="shared" si="3"/>
      </c>
      <c r="L18" s="87">
        <f t="shared" si="4"/>
      </c>
    </row>
    <row r="19" spans="2:12" ht="18" customHeight="1">
      <c r="B19" s="82">
        <v>37</v>
      </c>
      <c r="C19" s="121">
        <f>VLOOKUP($B19,MatchTable!$A$3:$G$50,3)</f>
        <v>41814.666666666664</v>
      </c>
      <c r="D19" s="122" t="str">
        <f>VLOOKUP($B19,MatchTable!$A$3:$H$50,6)</f>
        <v>JPN</v>
      </c>
      <c r="E19" s="76"/>
      <c r="F19" s="100">
        <f>IF(E20="","",E20)</f>
      </c>
      <c r="G19" s="78">
        <f>IF(E19="","",IF(E19&gt;E20,3,IF(E19=E20,1,0)))</f>
      </c>
      <c r="H19" s="222" t="str">
        <f>VLOOKUP($B19,MatchTable!$A$3:$J$50,10)</f>
        <v>Cuiaba</v>
      </c>
      <c r="J19" s="86">
        <f t="shared" si="2"/>
      </c>
      <c r="K19" s="73">
        <f t="shared" si="3"/>
      </c>
      <c r="L19" s="87">
        <f t="shared" si="4"/>
      </c>
    </row>
    <row r="20" spans="2:12" ht="18" customHeight="1" thickBot="1">
      <c r="B20" s="151">
        <f>B19</f>
        <v>37</v>
      </c>
      <c r="C20" s="124">
        <f>VLOOKUP($B20,MatchTable!$A$3:$G$50,4)</f>
        <v>41815.20833333333</v>
      </c>
      <c r="D20" s="125" t="str">
        <f>VLOOKUP($B20,MatchTable!$A$3:$H$50,8)</f>
        <v>COL</v>
      </c>
      <c r="E20" s="94"/>
      <c r="F20" s="101">
        <f>IF(E19="","",E19)</f>
      </c>
      <c r="G20" s="96">
        <f>IF(E20="","",IF(E19&lt;E20,3,IF(E19=E20,1,0)))</f>
      </c>
      <c r="H20" s="223"/>
      <c r="J20" s="86">
        <f t="shared" si="2"/>
      </c>
      <c r="K20" s="73">
        <f t="shared" si="3"/>
      </c>
      <c r="L20" s="87">
        <f t="shared" si="4"/>
      </c>
    </row>
    <row r="21" spans="2:12" ht="18" customHeight="1">
      <c r="B21" s="82">
        <v>38</v>
      </c>
      <c r="C21" s="121">
        <f>VLOOKUP($B21,MatchTable!$A$3:$G$50,3)</f>
        <v>41814.708333333336</v>
      </c>
      <c r="D21" s="122" t="str">
        <f>VLOOKUP($B21,MatchTable!$A$3:$H$50,6)</f>
        <v>GRE</v>
      </c>
      <c r="E21" s="97"/>
      <c r="F21" s="102">
        <f>IF(E22="","",E22)</f>
      </c>
      <c r="G21" s="99">
        <f>IF(E21="","",IF(E21&gt;E22,3,IF(E21=E22,1,0)))</f>
      </c>
      <c r="H21" s="222" t="str">
        <f>VLOOKUP($B21,MatchTable!$A$3:$J$50,10)</f>
        <v>Fortaleza</v>
      </c>
      <c r="J21" s="86">
        <f t="shared" si="2"/>
      </c>
      <c r="K21" s="73">
        <f t="shared" si="3"/>
      </c>
      <c r="L21" s="87">
        <f t="shared" si="4"/>
      </c>
    </row>
    <row r="22" spans="2:12" ht="18" customHeight="1" thickBot="1">
      <c r="B22" s="151">
        <f>B21</f>
        <v>38</v>
      </c>
      <c r="C22" s="124">
        <f>VLOOKUP($B22,MatchTable!$A$3:$G$50,4)</f>
        <v>41815.208333333336</v>
      </c>
      <c r="D22" s="125" t="str">
        <f>VLOOKUP($B22,MatchTable!$A$3:$H$50,8)</f>
        <v>CIV</v>
      </c>
      <c r="E22" s="91"/>
      <c r="F22" s="103">
        <f>IF(E21="","",E21)</f>
      </c>
      <c r="G22" s="93">
        <f>IF(E22="","",IF(E21&lt;E22,3,IF(E21=E22,1,0)))</f>
      </c>
      <c r="H22" s="223"/>
      <c r="J22" s="104">
        <f t="shared" si="2"/>
      </c>
      <c r="K22" s="105">
        <f t="shared" si="3"/>
      </c>
      <c r="L22" s="106">
        <f t="shared" si="4"/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E15" sqref="E15"/>
    </sheetView>
  </sheetViews>
  <sheetFormatPr defaultColWidth="8.796875" defaultRowHeight="18" customHeight="1"/>
  <cols>
    <col min="1" max="1" width="3.59765625" style="39" customWidth="1"/>
    <col min="2" max="2" width="3.09765625" style="39" customWidth="1"/>
    <col min="3" max="3" width="13.09765625" style="39" customWidth="1"/>
    <col min="4" max="4" width="5.59765625" style="42" customWidth="1"/>
    <col min="5" max="6" width="7.09765625" style="42" customWidth="1"/>
    <col min="7" max="8" width="7.09765625" style="42" bestFit="1" customWidth="1"/>
    <col min="9" max="9" width="2.3984375" style="39" customWidth="1"/>
    <col min="10" max="12" width="3.59765625" style="39" customWidth="1"/>
    <col min="13" max="13" width="2.3984375" style="39" customWidth="1"/>
    <col min="14" max="14" width="5.09765625" style="39" customWidth="1"/>
    <col min="15" max="15" width="5.09765625" style="39" bestFit="1" customWidth="1"/>
    <col min="16" max="16" width="1.59765625" style="39" customWidth="1"/>
    <col min="17" max="16384" width="9" style="39" customWidth="1"/>
  </cols>
  <sheetData>
    <row r="1" spans="2:9" ht="18" customHeight="1">
      <c r="B1" s="23" t="s">
        <v>402</v>
      </c>
      <c r="C1" s="23"/>
      <c r="D1" s="40"/>
      <c r="E1" s="40"/>
      <c r="F1" s="40"/>
      <c r="G1" s="41"/>
      <c r="H1" s="12"/>
      <c r="I1" s="12"/>
    </row>
    <row r="2" spans="2:3" ht="18" customHeight="1">
      <c r="B2" s="40" t="s">
        <v>30</v>
      </c>
      <c r="C2" s="23" t="s">
        <v>0</v>
      </c>
    </row>
    <row r="3" spans="1:15" ht="18" customHeight="1" thickBot="1">
      <c r="A3" s="43" t="s">
        <v>28</v>
      </c>
      <c r="C3" s="39" t="s">
        <v>1</v>
      </c>
      <c r="D3" s="9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/>
      <c r="J3" s="42" t="s">
        <v>7</v>
      </c>
      <c r="K3" s="42" t="s">
        <v>8</v>
      </c>
      <c r="L3" s="42" t="s">
        <v>9</v>
      </c>
      <c r="N3" s="42"/>
      <c r="O3" s="42" t="s">
        <v>10</v>
      </c>
    </row>
    <row r="4" spans="1:15" ht="18" customHeight="1">
      <c r="A4" s="44" t="str">
        <f>$B$2&amp;O4</f>
        <v>D3</v>
      </c>
      <c r="B4" s="45"/>
      <c r="C4" s="46" t="s">
        <v>382</v>
      </c>
      <c r="D4" s="47" t="s">
        <v>361</v>
      </c>
      <c r="E4" s="48">
        <f aca="true" t="shared" si="0" ref="E4:G7">SUMIF($D$11:$D$22,$D4,E$11:E$22)</f>
        <v>1</v>
      </c>
      <c r="F4" s="48">
        <f t="shared" si="0"/>
        <v>3</v>
      </c>
      <c r="G4" s="48">
        <f t="shared" si="0"/>
        <v>0</v>
      </c>
      <c r="H4" s="49">
        <f>E4-F4</f>
        <v>-2</v>
      </c>
      <c r="I4" s="50"/>
      <c r="J4" s="51">
        <f aca="true" t="shared" si="1" ref="J4:L7">COUNTIF(J$11:J$22,$D4)</f>
        <v>0</v>
      </c>
      <c r="K4" s="52">
        <f t="shared" si="1"/>
        <v>0</v>
      </c>
      <c r="L4" s="53">
        <f t="shared" si="1"/>
        <v>1</v>
      </c>
      <c r="M4" s="12"/>
      <c r="N4" s="54">
        <f>G4*10000+(H4+50)*100+E4</f>
        <v>4801</v>
      </c>
      <c r="O4" s="49">
        <f>RANK(N4,$N$4:$N$7)</f>
        <v>3</v>
      </c>
    </row>
    <row r="5" spans="1:15" ht="18" customHeight="1">
      <c r="A5" s="44" t="str">
        <f>$B$2&amp;O5</f>
        <v>D1</v>
      </c>
      <c r="B5" s="55"/>
      <c r="C5" s="56" t="s">
        <v>383</v>
      </c>
      <c r="D5" s="57" t="s">
        <v>335</v>
      </c>
      <c r="E5" s="58">
        <f t="shared" si="0"/>
        <v>3</v>
      </c>
      <c r="F5" s="58">
        <f t="shared" si="0"/>
        <v>1</v>
      </c>
      <c r="G5" s="58">
        <f t="shared" si="0"/>
        <v>3</v>
      </c>
      <c r="H5" s="59">
        <f>E5-F5</f>
        <v>2</v>
      </c>
      <c r="I5" s="50"/>
      <c r="J5" s="60">
        <f t="shared" si="1"/>
        <v>1</v>
      </c>
      <c r="K5" s="61">
        <f t="shared" si="1"/>
        <v>0</v>
      </c>
      <c r="L5" s="62">
        <f t="shared" si="1"/>
        <v>0</v>
      </c>
      <c r="M5" s="12"/>
      <c r="N5" s="63">
        <f>G5*10000+(H5+50)*100+E5</f>
        <v>35203</v>
      </c>
      <c r="O5" s="59">
        <f>RANK(N5,$N$4:$N$7)</f>
        <v>1</v>
      </c>
    </row>
    <row r="6" spans="1:15" ht="18" customHeight="1">
      <c r="A6" s="44" t="str">
        <f>$B$2&amp;O6</f>
        <v>D3</v>
      </c>
      <c r="B6" s="55"/>
      <c r="C6" s="56" t="s">
        <v>384</v>
      </c>
      <c r="D6" s="57" t="s">
        <v>297</v>
      </c>
      <c r="E6" s="58">
        <f t="shared" si="0"/>
        <v>1</v>
      </c>
      <c r="F6" s="58">
        <f t="shared" si="0"/>
        <v>3</v>
      </c>
      <c r="G6" s="58">
        <f t="shared" si="0"/>
        <v>0</v>
      </c>
      <c r="H6" s="59">
        <f>E6-F6</f>
        <v>-2</v>
      </c>
      <c r="I6" s="50"/>
      <c r="J6" s="60">
        <f t="shared" si="1"/>
        <v>0</v>
      </c>
      <c r="K6" s="61">
        <f t="shared" si="1"/>
        <v>0</v>
      </c>
      <c r="L6" s="62">
        <f t="shared" si="1"/>
        <v>1</v>
      </c>
      <c r="M6" s="12"/>
      <c r="N6" s="63">
        <f>G6*10000+(H6+50)*100+E6</f>
        <v>4801</v>
      </c>
      <c r="O6" s="59">
        <f>RANK(N6,$N$4:$N$7)</f>
        <v>3</v>
      </c>
    </row>
    <row r="7" spans="1:15" ht="18" customHeight="1" thickBot="1">
      <c r="A7" s="44" t="str">
        <f>$B$2&amp;O7</f>
        <v>D1</v>
      </c>
      <c r="B7" s="64"/>
      <c r="C7" s="65" t="s">
        <v>385</v>
      </c>
      <c r="D7" s="66" t="s">
        <v>313</v>
      </c>
      <c r="E7" s="67">
        <f t="shared" si="0"/>
        <v>3</v>
      </c>
      <c r="F7" s="67">
        <f t="shared" si="0"/>
        <v>1</v>
      </c>
      <c r="G7" s="67">
        <f t="shared" si="0"/>
        <v>3</v>
      </c>
      <c r="H7" s="68">
        <f>E7-F7</f>
        <v>2</v>
      </c>
      <c r="I7" s="50"/>
      <c r="J7" s="69">
        <f t="shared" si="1"/>
        <v>1</v>
      </c>
      <c r="K7" s="70">
        <f t="shared" si="1"/>
        <v>0</v>
      </c>
      <c r="L7" s="71">
        <f t="shared" si="1"/>
        <v>0</v>
      </c>
      <c r="M7" s="12"/>
      <c r="N7" s="72">
        <f>G7*10000+(H7+50)*100+E7</f>
        <v>35203</v>
      </c>
      <c r="O7" s="68">
        <f>RANK(N7,$N$4:$N$7)</f>
        <v>1</v>
      </c>
    </row>
    <row r="8" spans="4:8" ht="18" customHeight="1">
      <c r="D8" s="39"/>
      <c r="E8" s="73">
        <f>SUM(E4:E7)</f>
        <v>8</v>
      </c>
      <c r="F8" s="73">
        <f>SUM(F4:F7)</f>
        <v>8</v>
      </c>
      <c r="G8" s="73">
        <f>SUM(G4:G7)</f>
        <v>6</v>
      </c>
      <c r="H8" s="73">
        <f>SUM(H4:H7)</f>
        <v>0</v>
      </c>
    </row>
    <row r="9" spans="3:7" ht="18" customHeight="1">
      <c r="C9" s="42" t="s">
        <v>116</v>
      </c>
      <c r="D9" s="39"/>
      <c r="E9" s="74" t="s">
        <v>11</v>
      </c>
      <c r="F9" s="74"/>
      <c r="G9" s="75"/>
    </row>
    <row r="10" spans="2:12" ht="18" customHeight="1" thickBot="1">
      <c r="B10" s="111" t="s">
        <v>115</v>
      </c>
      <c r="C10" s="9" t="s">
        <v>117</v>
      </c>
      <c r="D10" s="42" t="s">
        <v>12</v>
      </c>
      <c r="E10" s="42" t="s">
        <v>13</v>
      </c>
      <c r="F10" s="42" t="s">
        <v>14</v>
      </c>
      <c r="G10" s="42" t="s">
        <v>15</v>
      </c>
      <c r="J10" s="42" t="s">
        <v>7</v>
      </c>
      <c r="K10" s="42" t="s">
        <v>8</v>
      </c>
      <c r="L10" s="42" t="s">
        <v>9</v>
      </c>
    </row>
    <row r="11" spans="2:12" ht="18" customHeight="1">
      <c r="B11" s="82">
        <v>7</v>
      </c>
      <c r="C11" s="121">
        <f>VLOOKUP($B11,MatchTable!$A$3:$G$50,3)</f>
        <v>41804.666666666664</v>
      </c>
      <c r="D11" s="122" t="str">
        <f>VLOOKUP($B11,MatchTable!$A$3:$H$50,6)</f>
        <v>URU</v>
      </c>
      <c r="E11" s="76">
        <v>1</v>
      </c>
      <c r="F11" s="77">
        <f>IF(E12="","",E12)</f>
        <v>3</v>
      </c>
      <c r="G11" s="78">
        <f>IF(E11="","",IF(E11&gt;E12,3,IF(E11=E12,1,0)))</f>
        <v>0</v>
      </c>
      <c r="J11" s="79">
        <f aca="true" t="shared" si="2" ref="J11:J22">IF($E11="","",IF($G11=3,$D11,""))</f>
      </c>
      <c r="K11" s="80">
        <f aca="true" t="shared" si="3" ref="K11:K22">IF($E11="","",IF($G11=1,$D11,""))</f>
      </c>
      <c r="L11" s="81" t="str">
        <f aca="true" t="shared" si="4" ref="L11:L22">IF($E11="","",IF($G11=0,$D11,""))</f>
        <v>URU</v>
      </c>
    </row>
    <row r="12" spans="2:12" ht="18" customHeight="1" thickBot="1">
      <c r="B12" s="151">
        <f>B11</f>
        <v>7</v>
      </c>
      <c r="C12" s="124">
        <f>VLOOKUP($B12,MatchTable!$A$3:$G$50,4)</f>
        <v>41805.166666666664</v>
      </c>
      <c r="D12" s="125" t="str">
        <f>VLOOKUP($B12,MatchTable!$A$3:$H$50,8)</f>
        <v>CRC</v>
      </c>
      <c r="E12" s="83">
        <v>3</v>
      </c>
      <c r="F12" s="84">
        <f>IF(E11="","",E11)</f>
        <v>1</v>
      </c>
      <c r="G12" s="85">
        <f>IF(E12="","",IF(E11&lt;E12,3,IF(E11=E12,1,0)))</f>
        <v>3</v>
      </c>
      <c r="J12" s="86" t="str">
        <f t="shared" si="2"/>
        <v>CRC</v>
      </c>
      <c r="K12" s="73">
        <f t="shared" si="3"/>
      </c>
      <c r="L12" s="87">
        <f t="shared" si="4"/>
      </c>
    </row>
    <row r="13" spans="2:12" ht="18" customHeight="1">
      <c r="B13" s="82">
        <v>8</v>
      </c>
      <c r="C13" s="121">
        <f>VLOOKUP($B13,MatchTable!$A$3:$G$50,3)</f>
        <v>41804.75</v>
      </c>
      <c r="D13" s="122" t="str">
        <f>VLOOKUP($B13,MatchTable!$A$3:$H$50,6)</f>
        <v>ENG</v>
      </c>
      <c r="E13" s="88">
        <v>1</v>
      </c>
      <c r="F13" s="89">
        <f>IF(E14="","",E14)</f>
        <v>3</v>
      </c>
      <c r="G13" s="90">
        <f>IF(E13="","",IF(E13&gt;E14,3,IF(E13=E14,1,0)))</f>
        <v>0</v>
      </c>
      <c r="J13" s="86">
        <f t="shared" si="2"/>
      </c>
      <c r="K13" s="73">
        <f t="shared" si="3"/>
      </c>
      <c r="L13" s="87" t="str">
        <f t="shared" si="4"/>
        <v>ENG</v>
      </c>
    </row>
    <row r="14" spans="2:12" ht="18" customHeight="1" thickBot="1">
      <c r="B14" s="151">
        <f>B13</f>
        <v>8</v>
      </c>
      <c r="C14" s="124">
        <f>VLOOKUP($B14,MatchTable!$A$3:$G$50,4)</f>
        <v>41805.291666666664</v>
      </c>
      <c r="D14" s="125" t="str">
        <f>VLOOKUP($B14,MatchTable!$A$3:$H$50,8)</f>
        <v>ITA</v>
      </c>
      <c r="E14" s="91">
        <v>3</v>
      </c>
      <c r="F14" s="92">
        <f>IF(E13="","",E13)</f>
        <v>1</v>
      </c>
      <c r="G14" s="93">
        <f>IF(E14="","",IF(E13&lt;E14,3,IF(E13=E14,1,0)))</f>
        <v>3</v>
      </c>
      <c r="J14" s="86" t="str">
        <f t="shared" si="2"/>
        <v>ITA</v>
      </c>
      <c r="K14" s="73">
        <f t="shared" si="3"/>
      </c>
      <c r="L14" s="87">
        <f t="shared" si="4"/>
      </c>
    </row>
    <row r="15" spans="2:12" ht="18" customHeight="1">
      <c r="B15" s="82">
        <v>23</v>
      </c>
      <c r="C15" s="121">
        <f>VLOOKUP($B15,MatchTable!$A$3:$G$50,3)</f>
        <v>41809.666666666664</v>
      </c>
      <c r="D15" s="122" t="str">
        <f>VLOOKUP($B15,MatchTable!$A$3:$H$50,6)</f>
        <v>URU</v>
      </c>
      <c r="E15" s="76"/>
      <c r="F15" s="77">
        <f>IF(E16="","",E16)</f>
      </c>
      <c r="G15" s="78">
        <f>IF(E15="","",IF(E15&gt;E16,3,IF(E15=E16,1,0)))</f>
      </c>
      <c r="J15" s="86">
        <f t="shared" si="2"/>
      </c>
      <c r="K15" s="73">
        <f t="shared" si="3"/>
      </c>
      <c r="L15" s="87">
        <f t="shared" si="4"/>
      </c>
    </row>
    <row r="16" spans="2:12" ht="18" customHeight="1" thickBot="1">
      <c r="B16" s="151">
        <f>B15</f>
        <v>23</v>
      </c>
      <c r="C16" s="124">
        <f>VLOOKUP($B16,MatchTable!$A$3:$G$50,4)</f>
        <v>41810.166666666664</v>
      </c>
      <c r="D16" s="125" t="str">
        <f>VLOOKUP($B16,MatchTable!$A$3:$H$50,8)</f>
        <v>ENG</v>
      </c>
      <c r="E16" s="94"/>
      <c r="F16" s="95">
        <f>IF(E15="","",E15)</f>
      </c>
      <c r="G16" s="96">
        <f>IF(E16="","",IF(E15&lt;E16,3,IF(E15=E16,1,0)))</f>
      </c>
      <c r="J16" s="86">
        <f t="shared" si="2"/>
      </c>
      <c r="K16" s="73">
        <f t="shared" si="3"/>
      </c>
      <c r="L16" s="87">
        <f t="shared" si="4"/>
      </c>
    </row>
    <row r="17" spans="2:12" ht="18" customHeight="1">
      <c r="B17" s="82">
        <v>24</v>
      </c>
      <c r="C17" s="121">
        <f>VLOOKUP($B17,MatchTable!$A$3:$G$50,3)</f>
        <v>41810.541666666664</v>
      </c>
      <c r="D17" s="122" t="str">
        <f>VLOOKUP($B17,MatchTable!$A$3:$H$50,6)</f>
        <v>ITA</v>
      </c>
      <c r="E17" s="97"/>
      <c r="F17" s="98">
        <f>IF(E18="","",E18)</f>
      </c>
      <c r="G17" s="99">
        <f>IF(E17="","",IF(E17&gt;E18,3,IF(E17=E18,1,0)))</f>
      </c>
      <c r="J17" s="86">
        <f t="shared" si="2"/>
      </c>
      <c r="K17" s="73">
        <f t="shared" si="3"/>
      </c>
      <c r="L17" s="87">
        <f t="shared" si="4"/>
      </c>
    </row>
    <row r="18" spans="2:12" ht="18" customHeight="1" thickBot="1">
      <c r="B18" s="151">
        <f>B17</f>
        <v>24</v>
      </c>
      <c r="C18" s="124">
        <f>VLOOKUP($B18,MatchTable!$A$3:$G$50,4)</f>
        <v>41811.041666666664</v>
      </c>
      <c r="D18" s="125" t="str">
        <f>VLOOKUP($B18,MatchTable!$A$3:$H$50,8)</f>
        <v>CRC</v>
      </c>
      <c r="E18" s="91"/>
      <c r="F18" s="92">
        <f>IF(E17="","",E17)</f>
      </c>
      <c r="G18" s="93">
        <f>IF(E18="","",IF(E17&lt;E18,3,IF(E17=E18,1,0)))</f>
      </c>
      <c r="J18" s="86">
        <f t="shared" si="2"/>
      </c>
      <c r="K18" s="73">
        <f t="shared" si="3"/>
      </c>
      <c r="L18" s="87">
        <f t="shared" si="4"/>
      </c>
    </row>
    <row r="19" spans="2:12" ht="18" customHeight="1">
      <c r="B19" s="82">
        <v>39</v>
      </c>
      <c r="C19" s="121">
        <f>VLOOKUP($B19,MatchTable!$A$3:$G$50,3)</f>
        <v>41814.541666666664</v>
      </c>
      <c r="D19" s="122" t="str">
        <f>VLOOKUP($B19,MatchTable!$A$3:$H$50,6)</f>
        <v>ITA</v>
      </c>
      <c r="E19" s="76"/>
      <c r="F19" s="100">
        <f>IF(E20="","",E20)</f>
      </c>
      <c r="G19" s="78">
        <f>IF(E19="","",IF(E19&gt;E20,3,IF(E19=E20,1,0)))</f>
      </c>
      <c r="J19" s="86">
        <f t="shared" si="2"/>
      </c>
      <c r="K19" s="73">
        <f t="shared" si="3"/>
      </c>
      <c r="L19" s="87">
        <f t="shared" si="4"/>
      </c>
    </row>
    <row r="20" spans="2:12" ht="18" customHeight="1" thickBot="1">
      <c r="B20" s="151">
        <f>B19</f>
        <v>39</v>
      </c>
      <c r="C20" s="124">
        <f>VLOOKUP($B20,MatchTable!$A$3:$G$50,4)</f>
        <v>41815.041666666664</v>
      </c>
      <c r="D20" s="125" t="str">
        <f>VLOOKUP($B20,MatchTable!$A$3:$H$50,8)</f>
        <v>URU</v>
      </c>
      <c r="E20" s="94"/>
      <c r="F20" s="101">
        <f>IF(E19="","",E19)</f>
      </c>
      <c r="G20" s="96">
        <f>IF(E20="","",IF(E19&lt;E20,3,IF(E19=E20,1,0)))</f>
      </c>
      <c r="J20" s="86">
        <f t="shared" si="2"/>
      </c>
      <c r="K20" s="73">
        <f t="shared" si="3"/>
      </c>
      <c r="L20" s="87">
        <f t="shared" si="4"/>
      </c>
    </row>
    <row r="21" spans="2:12" ht="18" customHeight="1">
      <c r="B21" s="82">
        <v>40</v>
      </c>
      <c r="C21" s="121">
        <f>VLOOKUP($B21,MatchTable!$A$3:$G$50,3)</f>
        <v>41814.541666666664</v>
      </c>
      <c r="D21" s="122" t="str">
        <f>VLOOKUP($B21,MatchTable!$A$3:$H$50,6)</f>
        <v>CRC</v>
      </c>
      <c r="E21" s="97"/>
      <c r="F21" s="102">
        <f>IF(E22="","",E22)</f>
      </c>
      <c r="G21" s="99">
        <f>IF(E21="","",IF(E21&gt;E22,3,IF(E21=E22,1,0)))</f>
      </c>
      <c r="J21" s="86">
        <f t="shared" si="2"/>
      </c>
      <c r="K21" s="73">
        <f t="shared" si="3"/>
      </c>
      <c r="L21" s="87">
        <f t="shared" si="4"/>
      </c>
    </row>
    <row r="22" spans="2:12" ht="18" customHeight="1" thickBot="1">
      <c r="B22" s="151">
        <f>B21</f>
        <v>40</v>
      </c>
      <c r="C22" s="124">
        <f>VLOOKUP($B22,MatchTable!$A$3:$G$50,4)</f>
        <v>41815.041666666664</v>
      </c>
      <c r="D22" s="125" t="str">
        <f>VLOOKUP($B22,MatchTable!$A$3:$H$50,8)</f>
        <v>ENG</v>
      </c>
      <c r="E22" s="91"/>
      <c r="F22" s="103">
        <f>IF(E21="","",E21)</f>
      </c>
      <c r="G22" s="93">
        <f>IF(E22="","",IF(E21&lt;E22,3,IF(E21=E22,1,0)))</f>
      </c>
      <c r="J22" s="104">
        <f t="shared" si="2"/>
      </c>
      <c r="K22" s="105">
        <f t="shared" si="3"/>
      </c>
      <c r="L22" s="106">
        <f t="shared" si="4"/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E11" sqref="E11"/>
    </sheetView>
  </sheetViews>
  <sheetFormatPr defaultColWidth="8.796875" defaultRowHeight="18" customHeight="1"/>
  <cols>
    <col min="1" max="1" width="3.59765625" style="39" customWidth="1"/>
    <col min="2" max="2" width="3.09765625" style="39" customWidth="1"/>
    <col min="3" max="3" width="13.09765625" style="39" customWidth="1"/>
    <col min="4" max="4" width="5.59765625" style="42" customWidth="1"/>
    <col min="5" max="6" width="7.09765625" style="42" customWidth="1"/>
    <col min="7" max="8" width="7.09765625" style="42" bestFit="1" customWidth="1"/>
    <col min="9" max="9" width="2.3984375" style="39" customWidth="1"/>
    <col min="10" max="12" width="3.59765625" style="39" customWidth="1"/>
    <col min="13" max="13" width="2.3984375" style="39" customWidth="1"/>
    <col min="14" max="15" width="5.09765625" style="39" customWidth="1"/>
    <col min="16" max="16" width="1.59765625" style="39" customWidth="1"/>
    <col min="17" max="16384" width="9" style="39" customWidth="1"/>
  </cols>
  <sheetData>
    <row r="1" spans="2:9" ht="18" customHeight="1">
      <c r="B1" s="23" t="s">
        <v>402</v>
      </c>
      <c r="C1" s="23"/>
      <c r="D1" s="40"/>
      <c r="E1" s="40"/>
      <c r="F1" s="40"/>
      <c r="G1" s="41"/>
      <c r="H1" s="12"/>
      <c r="I1" s="12"/>
    </row>
    <row r="2" spans="2:3" ht="18" customHeight="1">
      <c r="B2" s="40" t="s">
        <v>31</v>
      </c>
      <c r="C2" s="23" t="s">
        <v>0</v>
      </c>
    </row>
    <row r="3" spans="1:15" ht="18" customHeight="1" thickBot="1">
      <c r="A3" s="43" t="s">
        <v>28</v>
      </c>
      <c r="C3" s="39" t="s">
        <v>1</v>
      </c>
      <c r="D3" s="9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/>
      <c r="J3" s="42" t="s">
        <v>7</v>
      </c>
      <c r="K3" s="42" t="s">
        <v>8</v>
      </c>
      <c r="L3" s="42" t="s">
        <v>9</v>
      </c>
      <c r="N3" s="42"/>
      <c r="O3" s="42" t="s">
        <v>10</v>
      </c>
    </row>
    <row r="4" spans="1:15" ht="18" customHeight="1">
      <c r="A4" s="44" t="str">
        <f>$B$2&amp;O4</f>
        <v>E1</v>
      </c>
      <c r="B4" s="45"/>
      <c r="C4" s="46" t="s">
        <v>386</v>
      </c>
      <c r="D4" s="47" t="s">
        <v>330</v>
      </c>
      <c r="E4" s="48">
        <f aca="true" t="shared" si="0" ref="E4:G7">SUMIF($D$11:$D$22,$D4,E$11:E$22)</f>
        <v>0</v>
      </c>
      <c r="F4" s="48">
        <f t="shared" si="0"/>
        <v>0</v>
      </c>
      <c r="G4" s="48">
        <f t="shared" si="0"/>
        <v>0</v>
      </c>
      <c r="H4" s="49">
        <f>E4-F4</f>
        <v>0</v>
      </c>
      <c r="I4" s="50"/>
      <c r="J4" s="51">
        <f aca="true" t="shared" si="1" ref="J4:L7">COUNTIF(J$11:J$22,$D4)</f>
        <v>0</v>
      </c>
      <c r="K4" s="52">
        <f t="shared" si="1"/>
        <v>0</v>
      </c>
      <c r="L4" s="53">
        <f t="shared" si="1"/>
        <v>0</v>
      </c>
      <c r="M4" s="12"/>
      <c r="N4" s="54">
        <f>G4*10000+(H4+50)*100+E4</f>
        <v>5000</v>
      </c>
      <c r="O4" s="49">
        <f>RANK(N4,$N$4:$N$7)</f>
        <v>1</v>
      </c>
    </row>
    <row r="5" spans="1:15" ht="18" customHeight="1">
      <c r="A5" s="44" t="str">
        <f>$B$2&amp;O5</f>
        <v>E1</v>
      </c>
      <c r="B5" s="55"/>
      <c r="C5" s="56" t="s">
        <v>387</v>
      </c>
      <c r="D5" s="57" t="s">
        <v>357</v>
      </c>
      <c r="E5" s="58">
        <f t="shared" si="0"/>
        <v>0</v>
      </c>
      <c r="F5" s="58">
        <f t="shared" si="0"/>
        <v>0</v>
      </c>
      <c r="G5" s="58">
        <f t="shared" si="0"/>
        <v>0</v>
      </c>
      <c r="H5" s="59">
        <f>E5-F5</f>
        <v>0</v>
      </c>
      <c r="I5" s="50"/>
      <c r="J5" s="60">
        <f t="shared" si="1"/>
        <v>0</v>
      </c>
      <c r="K5" s="61">
        <f t="shared" si="1"/>
        <v>0</v>
      </c>
      <c r="L5" s="62">
        <f t="shared" si="1"/>
        <v>0</v>
      </c>
      <c r="M5" s="12"/>
      <c r="N5" s="63">
        <f>G5*10000+(H5+50)*100+E5</f>
        <v>5000</v>
      </c>
      <c r="O5" s="59">
        <f>RANK(N5,$N$4:$N$7)</f>
        <v>1</v>
      </c>
    </row>
    <row r="6" spans="1:15" ht="18" customHeight="1">
      <c r="A6" s="44" t="str">
        <f>$B$2&amp;O6</f>
        <v>E1</v>
      </c>
      <c r="B6" s="55"/>
      <c r="C6" s="56" t="s">
        <v>388</v>
      </c>
      <c r="D6" s="57" t="s">
        <v>301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9">
        <f>E6-F6</f>
        <v>0</v>
      </c>
      <c r="I6" s="50"/>
      <c r="J6" s="60">
        <f t="shared" si="1"/>
        <v>0</v>
      </c>
      <c r="K6" s="61">
        <f t="shared" si="1"/>
        <v>0</v>
      </c>
      <c r="L6" s="62">
        <f t="shared" si="1"/>
        <v>0</v>
      </c>
      <c r="M6" s="12"/>
      <c r="N6" s="63">
        <f>G6*10000+(H6+50)*100+E6</f>
        <v>5000</v>
      </c>
      <c r="O6" s="59">
        <f>RANK(N6,$N$4:$N$7)</f>
        <v>1</v>
      </c>
    </row>
    <row r="7" spans="1:15" ht="18" customHeight="1" thickBot="1">
      <c r="A7" s="44" t="str">
        <f>$B$2&amp;O7</f>
        <v>E1</v>
      </c>
      <c r="B7" s="64"/>
      <c r="C7" s="65" t="s">
        <v>389</v>
      </c>
      <c r="D7" s="66" t="s">
        <v>338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8">
        <f>E7-F7</f>
        <v>0</v>
      </c>
      <c r="I7" s="50"/>
      <c r="J7" s="69">
        <f t="shared" si="1"/>
        <v>0</v>
      </c>
      <c r="K7" s="70">
        <f t="shared" si="1"/>
        <v>0</v>
      </c>
      <c r="L7" s="71">
        <f t="shared" si="1"/>
        <v>0</v>
      </c>
      <c r="M7" s="12"/>
      <c r="N7" s="72">
        <f>G7*10000+(H7+50)*100+E7</f>
        <v>5000</v>
      </c>
      <c r="O7" s="68">
        <f>RANK(N7,$N$4:$N$7)</f>
        <v>1</v>
      </c>
    </row>
    <row r="8" spans="4:8" ht="18" customHeight="1">
      <c r="D8" s="39"/>
      <c r="E8" s="73">
        <f>SUM(E4:E7)</f>
        <v>0</v>
      </c>
      <c r="F8" s="73">
        <f>SUM(F4:F7)</f>
        <v>0</v>
      </c>
      <c r="G8" s="73">
        <f>SUM(G4:G7)</f>
        <v>0</v>
      </c>
      <c r="H8" s="73">
        <f>SUM(H4:H7)</f>
        <v>0</v>
      </c>
    </row>
    <row r="9" spans="3:7" ht="18" customHeight="1">
      <c r="C9" s="42" t="s">
        <v>116</v>
      </c>
      <c r="D9" s="39"/>
      <c r="E9" s="74" t="s">
        <v>11</v>
      </c>
      <c r="F9" s="74"/>
      <c r="G9" s="75"/>
    </row>
    <row r="10" spans="2:12" ht="18" customHeight="1" thickBot="1">
      <c r="B10" s="111" t="s">
        <v>115</v>
      </c>
      <c r="C10" s="9" t="s">
        <v>117</v>
      </c>
      <c r="D10" s="42" t="s">
        <v>12</v>
      </c>
      <c r="E10" s="42" t="s">
        <v>13</v>
      </c>
      <c r="F10" s="42" t="s">
        <v>14</v>
      </c>
      <c r="G10" s="42" t="s">
        <v>15</v>
      </c>
      <c r="J10" s="42" t="s">
        <v>7</v>
      </c>
      <c r="K10" s="42" t="s">
        <v>8</v>
      </c>
      <c r="L10" s="42" t="s">
        <v>9</v>
      </c>
    </row>
    <row r="11" spans="2:12" ht="18" customHeight="1">
      <c r="B11" s="82">
        <v>9</v>
      </c>
      <c r="C11" s="121">
        <f>VLOOKUP($B11,MatchTable!$A$3:$G$50,3)</f>
        <v>41805.541666666664</v>
      </c>
      <c r="D11" s="122" t="str">
        <f>VLOOKUP($B11,MatchTable!$A$3:$H$50,6)</f>
        <v>SUI</v>
      </c>
      <c r="E11" s="76"/>
      <c r="F11" s="77">
        <f>IF(E12="","",E12)</f>
      </c>
      <c r="G11" s="78">
        <f>IF(E11="","",IF(E11&gt;E12,3,IF(E11=E12,1,0)))</f>
      </c>
      <c r="J11" s="79">
        <f aca="true" t="shared" si="2" ref="J11:J22">IF($E11="","",IF($G11=3,$D11,""))</f>
      </c>
      <c r="K11" s="80">
        <f aca="true" t="shared" si="3" ref="K11:K22">IF($E11="","",IF($G11=1,$D11,""))</f>
      </c>
      <c r="L11" s="81">
        <f aca="true" t="shared" si="4" ref="L11:L22">IF($E11="","",IF($G11=0,$D11,""))</f>
      </c>
    </row>
    <row r="12" spans="2:12" ht="18" customHeight="1" thickBot="1">
      <c r="B12" s="151">
        <f>B11</f>
        <v>9</v>
      </c>
      <c r="C12" s="124">
        <f>VLOOKUP($B12,MatchTable!$A$3:$G$50,4)</f>
        <v>41806.041666666664</v>
      </c>
      <c r="D12" s="125" t="str">
        <f>VLOOKUP($B12,MatchTable!$A$3:$H$50,8)</f>
        <v>ECU</v>
      </c>
      <c r="E12" s="83"/>
      <c r="F12" s="84">
        <f>IF(E11="","",E11)</f>
      </c>
      <c r="G12" s="85">
        <f>IF(E12="","",IF(E11&lt;E12,3,IF(E11=E12,1,0)))</f>
      </c>
      <c r="J12" s="86">
        <f t="shared" si="2"/>
      </c>
      <c r="K12" s="73">
        <f t="shared" si="3"/>
      </c>
      <c r="L12" s="87">
        <f t="shared" si="4"/>
      </c>
    </row>
    <row r="13" spans="2:12" ht="18" customHeight="1">
      <c r="B13" s="82">
        <v>10</v>
      </c>
      <c r="C13" s="121">
        <f>VLOOKUP($B13,MatchTable!$A$3:$G$50,3)</f>
        <v>41805.666666666664</v>
      </c>
      <c r="D13" s="122" t="str">
        <f>VLOOKUP($B13,MatchTable!$A$3:$H$50,6)</f>
        <v>FRA</v>
      </c>
      <c r="E13" s="88"/>
      <c r="F13" s="89">
        <f>IF(E14="","",E14)</f>
      </c>
      <c r="G13" s="90">
        <f>IF(E13="","",IF(E13&gt;E14,3,IF(E13=E14,1,0)))</f>
      </c>
      <c r="J13" s="86">
        <f t="shared" si="2"/>
      </c>
      <c r="K13" s="73">
        <f t="shared" si="3"/>
      </c>
      <c r="L13" s="87">
        <f t="shared" si="4"/>
      </c>
    </row>
    <row r="14" spans="2:12" ht="18" customHeight="1" thickBot="1">
      <c r="B14" s="151">
        <f>B13</f>
        <v>10</v>
      </c>
      <c r="C14" s="124">
        <f>VLOOKUP($B14,MatchTable!$A$3:$G$50,4)</f>
        <v>41806.166666666664</v>
      </c>
      <c r="D14" s="125" t="str">
        <f>VLOOKUP($B14,MatchTable!$A$3:$H$50,8)</f>
        <v>HON</v>
      </c>
      <c r="E14" s="91"/>
      <c r="F14" s="92">
        <f>IF(E13="","",E13)</f>
      </c>
      <c r="G14" s="93">
        <f>IF(E14="","",IF(E13&lt;E14,3,IF(E13=E14,1,0)))</f>
      </c>
      <c r="J14" s="86">
        <f t="shared" si="2"/>
      </c>
      <c r="K14" s="73">
        <f t="shared" si="3"/>
      </c>
      <c r="L14" s="87">
        <f t="shared" si="4"/>
      </c>
    </row>
    <row r="15" spans="2:12" ht="18" customHeight="1">
      <c r="B15" s="82">
        <v>25</v>
      </c>
      <c r="C15" s="121">
        <f>VLOOKUP($B15,MatchTable!$A$3:$G$50,3)</f>
        <v>41810.666666666664</v>
      </c>
      <c r="D15" s="122" t="str">
        <f>VLOOKUP($B15,MatchTable!$A$3:$H$50,6)</f>
        <v>SUI</v>
      </c>
      <c r="E15" s="76"/>
      <c r="F15" s="77">
        <f>IF(E16="","",E16)</f>
      </c>
      <c r="G15" s="78">
        <f>IF(E15="","",IF(E15&gt;E16,3,IF(E15=E16,1,0)))</f>
      </c>
      <c r="J15" s="86">
        <f t="shared" si="2"/>
      </c>
      <c r="K15" s="73">
        <f t="shared" si="3"/>
      </c>
      <c r="L15" s="87">
        <f t="shared" si="4"/>
      </c>
    </row>
    <row r="16" spans="2:12" ht="18" customHeight="1" thickBot="1">
      <c r="B16" s="151">
        <f>B15</f>
        <v>25</v>
      </c>
      <c r="C16" s="124">
        <f>VLOOKUP($B16,MatchTable!$A$3:$G$50,4)</f>
        <v>41811.166666666664</v>
      </c>
      <c r="D16" s="125" t="str">
        <f>VLOOKUP($B16,MatchTable!$A$3:$H$50,8)</f>
        <v>FRA</v>
      </c>
      <c r="E16" s="94"/>
      <c r="F16" s="95">
        <f>IF(E15="","",E15)</f>
      </c>
      <c r="G16" s="96">
        <f>IF(E16="","",IF(E15&lt;E16,3,IF(E15=E16,1,0)))</f>
      </c>
      <c r="J16" s="86">
        <f t="shared" si="2"/>
      </c>
      <c r="K16" s="73">
        <f t="shared" si="3"/>
      </c>
      <c r="L16" s="87">
        <f t="shared" si="4"/>
      </c>
    </row>
    <row r="17" spans="2:12" ht="18" customHeight="1">
      <c r="B17" s="82">
        <v>26</v>
      </c>
      <c r="C17" s="121">
        <f>VLOOKUP($B17,MatchTable!$A$3:$G$50,3)</f>
        <v>41810.791666666664</v>
      </c>
      <c r="D17" s="122" t="str">
        <f>VLOOKUP($B17,MatchTable!$A$3:$H$50,6)</f>
        <v>HON</v>
      </c>
      <c r="E17" s="97"/>
      <c r="F17" s="98">
        <f>IF(E18="","",E18)</f>
      </c>
      <c r="G17" s="99">
        <f>IF(E17="","",IF(E17&gt;E18,3,IF(E17=E18,1,0)))</f>
      </c>
      <c r="J17" s="86">
        <f t="shared" si="2"/>
      </c>
      <c r="K17" s="73">
        <f t="shared" si="3"/>
      </c>
      <c r="L17" s="87">
        <f t="shared" si="4"/>
      </c>
    </row>
    <row r="18" spans="2:12" ht="18" customHeight="1" thickBot="1">
      <c r="B18" s="151">
        <f>B17</f>
        <v>26</v>
      </c>
      <c r="C18" s="124">
        <f>VLOOKUP($B18,MatchTable!$A$3:$G$50,4)</f>
        <v>41811.291666666664</v>
      </c>
      <c r="D18" s="125" t="str">
        <f>VLOOKUP($B18,MatchTable!$A$3:$H$50,8)</f>
        <v>ECU</v>
      </c>
      <c r="E18" s="91"/>
      <c r="F18" s="92">
        <f>IF(E17="","",E17)</f>
      </c>
      <c r="G18" s="93">
        <f>IF(E18="","",IF(E17&lt;E18,3,IF(E17=E18,1,0)))</f>
      </c>
      <c r="J18" s="86">
        <f t="shared" si="2"/>
      </c>
      <c r="K18" s="73">
        <f t="shared" si="3"/>
      </c>
      <c r="L18" s="87">
        <f t="shared" si="4"/>
      </c>
    </row>
    <row r="19" spans="2:12" ht="18" customHeight="1">
      <c r="B19" s="82">
        <v>41</v>
      </c>
      <c r="C19" s="121">
        <f>VLOOKUP($B19,MatchTable!$A$3:$G$50,3)</f>
        <v>41815.666666666664</v>
      </c>
      <c r="D19" s="122" t="str">
        <f>VLOOKUP($B19,MatchTable!$A$3:$H$50,6)</f>
        <v>HON</v>
      </c>
      <c r="E19" s="76"/>
      <c r="F19" s="100">
        <f>IF(E20="","",E20)</f>
      </c>
      <c r="G19" s="78">
        <f>IF(E19="","",IF(E19&gt;E20,3,IF(E19=E20,1,0)))</f>
      </c>
      <c r="J19" s="86">
        <f t="shared" si="2"/>
      </c>
      <c r="K19" s="73">
        <f t="shared" si="3"/>
      </c>
      <c r="L19" s="87">
        <f t="shared" si="4"/>
      </c>
    </row>
    <row r="20" spans="2:12" ht="18" customHeight="1" thickBot="1">
      <c r="B20" s="151">
        <f>B19</f>
        <v>41</v>
      </c>
      <c r="C20" s="124">
        <f>VLOOKUP($B20,MatchTable!$A$3:$G$50,4)</f>
        <v>41816.20833333333</v>
      </c>
      <c r="D20" s="125" t="str">
        <f>VLOOKUP($B20,MatchTable!$A$3:$H$50,8)</f>
        <v>SUI</v>
      </c>
      <c r="E20" s="94"/>
      <c r="F20" s="101">
        <f>IF(E19="","",E19)</f>
      </c>
      <c r="G20" s="96">
        <f>IF(E20="","",IF(E19&lt;E20,3,IF(E19=E20,1,0)))</f>
      </c>
      <c r="J20" s="86">
        <f t="shared" si="2"/>
      </c>
      <c r="K20" s="73">
        <f t="shared" si="3"/>
      </c>
      <c r="L20" s="87">
        <f t="shared" si="4"/>
      </c>
    </row>
    <row r="21" spans="2:12" ht="18" customHeight="1">
      <c r="B21" s="82">
        <v>42</v>
      </c>
      <c r="C21" s="121">
        <f>VLOOKUP($B21,MatchTable!$A$3:$G$50,3)</f>
        <v>41815.708333333336</v>
      </c>
      <c r="D21" s="122" t="str">
        <f>VLOOKUP($B21,MatchTable!$A$3:$H$50,6)</f>
        <v>ECU</v>
      </c>
      <c r="E21" s="97"/>
      <c r="F21" s="102">
        <f>IF(E22="","",E22)</f>
      </c>
      <c r="G21" s="99">
        <f>IF(E21="","",IF(E21&gt;E22,3,IF(E21=E22,1,0)))</f>
      </c>
      <c r="J21" s="86">
        <f t="shared" si="2"/>
      </c>
      <c r="K21" s="73">
        <f t="shared" si="3"/>
      </c>
      <c r="L21" s="87">
        <f t="shared" si="4"/>
      </c>
    </row>
    <row r="22" spans="2:12" ht="18" customHeight="1" thickBot="1">
      <c r="B22" s="151">
        <f>B21</f>
        <v>42</v>
      </c>
      <c r="C22" s="124">
        <f>VLOOKUP($B22,MatchTable!$A$3:$G$50,4)</f>
        <v>41816.208333333336</v>
      </c>
      <c r="D22" s="125" t="str">
        <f>VLOOKUP($B22,MatchTable!$A$3:$H$50,8)</f>
        <v>FRA</v>
      </c>
      <c r="E22" s="91"/>
      <c r="F22" s="103">
        <f>IF(E21="","",E21)</f>
      </c>
      <c r="G22" s="93">
        <f>IF(E22="","",IF(E21&lt;E22,3,IF(E21=E22,1,0)))</f>
      </c>
      <c r="J22" s="104">
        <f t="shared" si="2"/>
      </c>
      <c r="K22" s="105">
        <f t="shared" si="3"/>
      </c>
      <c r="L22" s="106">
        <f t="shared" si="4"/>
      </c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E11" sqref="E11"/>
    </sheetView>
  </sheetViews>
  <sheetFormatPr defaultColWidth="8.796875" defaultRowHeight="18" customHeight="1"/>
  <cols>
    <col min="1" max="1" width="3.59765625" style="39" customWidth="1"/>
    <col min="2" max="2" width="3.09765625" style="39" customWidth="1"/>
    <col min="3" max="3" width="13.09765625" style="39" customWidth="1"/>
    <col min="4" max="4" width="5.59765625" style="42" customWidth="1"/>
    <col min="5" max="6" width="7.09765625" style="42" customWidth="1"/>
    <col min="7" max="8" width="7.09765625" style="42" bestFit="1" customWidth="1"/>
    <col min="9" max="9" width="2.3984375" style="39" customWidth="1"/>
    <col min="10" max="12" width="3.59765625" style="39" customWidth="1"/>
    <col min="13" max="13" width="2.3984375" style="39" customWidth="1"/>
    <col min="14" max="15" width="5.09765625" style="39" customWidth="1"/>
    <col min="16" max="16" width="1.59765625" style="39" customWidth="1"/>
    <col min="17" max="16384" width="9" style="39" customWidth="1"/>
  </cols>
  <sheetData>
    <row r="1" spans="2:9" ht="18" customHeight="1">
      <c r="B1" s="23" t="s">
        <v>402</v>
      </c>
      <c r="C1" s="23"/>
      <c r="D1" s="40"/>
      <c r="E1" s="40"/>
      <c r="F1" s="40"/>
      <c r="G1" s="41"/>
      <c r="H1" s="12"/>
      <c r="I1" s="12"/>
    </row>
    <row r="2" spans="2:3" ht="18" customHeight="1">
      <c r="B2" s="40" t="s">
        <v>32</v>
      </c>
      <c r="C2" s="23" t="s">
        <v>33</v>
      </c>
    </row>
    <row r="3" spans="1:15" ht="18" customHeight="1" thickBot="1">
      <c r="A3" s="43" t="s">
        <v>28</v>
      </c>
      <c r="C3" s="39" t="s">
        <v>34</v>
      </c>
      <c r="D3" s="9" t="s">
        <v>35</v>
      </c>
      <c r="E3" s="42" t="s">
        <v>36</v>
      </c>
      <c r="F3" s="42" t="s">
        <v>37</v>
      </c>
      <c r="G3" s="42" t="s">
        <v>38</v>
      </c>
      <c r="H3" s="42" t="s">
        <v>39</v>
      </c>
      <c r="I3" s="42"/>
      <c r="J3" s="42" t="s">
        <v>40</v>
      </c>
      <c r="K3" s="42" t="s">
        <v>41</v>
      </c>
      <c r="L3" s="42" t="s">
        <v>42</v>
      </c>
      <c r="N3" s="42"/>
      <c r="O3" s="42" t="s">
        <v>43</v>
      </c>
    </row>
    <row r="4" spans="1:15" ht="18" customHeight="1">
      <c r="A4" s="44" t="str">
        <f>$B$2&amp;O4</f>
        <v>F1</v>
      </c>
      <c r="B4" s="45"/>
      <c r="C4" s="46" t="s">
        <v>390</v>
      </c>
      <c r="D4" s="47" t="s">
        <v>347</v>
      </c>
      <c r="E4" s="48">
        <f aca="true" t="shared" si="0" ref="E4:G7">SUMIF($D$11:$D$22,$D4,E$11:E$22)</f>
        <v>0</v>
      </c>
      <c r="F4" s="48">
        <f t="shared" si="0"/>
        <v>0</v>
      </c>
      <c r="G4" s="48">
        <f t="shared" si="0"/>
        <v>0</v>
      </c>
      <c r="H4" s="49">
        <f>E4-F4</f>
        <v>0</v>
      </c>
      <c r="I4" s="50"/>
      <c r="J4" s="51">
        <f aca="true" t="shared" si="1" ref="J4:L7">COUNTIF(J$11:J$22,$D4)</f>
        <v>0</v>
      </c>
      <c r="K4" s="52">
        <f t="shared" si="1"/>
        <v>0</v>
      </c>
      <c r="L4" s="53">
        <f t="shared" si="1"/>
        <v>0</v>
      </c>
      <c r="M4" s="12"/>
      <c r="N4" s="54">
        <f>G4*10000+(H4+50)*100+E4</f>
        <v>5000</v>
      </c>
      <c r="O4" s="49">
        <f>RANK(N4,$N$4:$N$7)</f>
        <v>1</v>
      </c>
    </row>
    <row r="5" spans="1:15" ht="18" customHeight="1">
      <c r="A5" s="44" t="str">
        <f>$B$2&amp;O5</f>
        <v>F1</v>
      </c>
      <c r="B5" s="55"/>
      <c r="C5" s="209" t="s">
        <v>391</v>
      </c>
      <c r="D5" s="57" t="s">
        <v>288</v>
      </c>
      <c r="E5" s="58">
        <f t="shared" si="0"/>
        <v>0</v>
      </c>
      <c r="F5" s="58">
        <f t="shared" si="0"/>
        <v>0</v>
      </c>
      <c r="G5" s="58">
        <f t="shared" si="0"/>
        <v>0</v>
      </c>
      <c r="H5" s="59">
        <f>E5-F5</f>
        <v>0</v>
      </c>
      <c r="I5" s="50"/>
      <c r="J5" s="60">
        <f t="shared" si="1"/>
        <v>0</v>
      </c>
      <c r="K5" s="61">
        <f t="shared" si="1"/>
        <v>0</v>
      </c>
      <c r="L5" s="62">
        <f t="shared" si="1"/>
        <v>0</v>
      </c>
      <c r="M5" s="12"/>
      <c r="N5" s="63">
        <f>G5*10000+(H5+50)*100+E5</f>
        <v>5000</v>
      </c>
      <c r="O5" s="59">
        <f>RANK(N5,$N$4:$N$7)</f>
        <v>1</v>
      </c>
    </row>
    <row r="6" spans="1:15" ht="18" customHeight="1">
      <c r="A6" s="44" t="str">
        <f>$B$2&amp;O6</f>
        <v>F1</v>
      </c>
      <c r="B6" s="55"/>
      <c r="C6" s="56" t="s">
        <v>392</v>
      </c>
      <c r="D6" s="57" t="s">
        <v>272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9">
        <f>E6-F6</f>
        <v>0</v>
      </c>
      <c r="I6" s="50"/>
      <c r="J6" s="60">
        <f t="shared" si="1"/>
        <v>0</v>
      </c>
      <c r="K6" s="61">
        <f t="shared" si="1"/>
        <v>0</v>
      </c>
      <c r="L6" s="62">
        <f t="shared" si="1"/>
        <v>0</v>
      </c>
      <c r="M6" s="12"/>
      <c r="N6" s="63">
        <f>G6*10000+(H6+50)*100+E6</f>
        <v>5000</v>
      </c>
      <c r="O6" s="59">
        <f>RANK(N6,$N$4:$N$7)</f>
        <v>1</v>
      </c>
    </row>
    <row r="7" spans="1:15" ht="18" customHeight="1" thickBot="1">
      <c r="A7" s="44" t="str">
        <f>$B$2&amp;O7</f>
        <v>F1</v>
      </c>
      <c r="B7" s="64"/>
      <c r="C7" s="65" t="s">
        <v>393</v>
      </c>
      <c r="D7" s="66" t="s">
        <v>261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8">
        <f>E7-F7</f>
        <v>0</v>
      </c>
      <c r="I7" s="50"/>
      <c r="J7" s="69">
        <f t="shared" si="1"/>
        <v>0</v>
      </c>
      <c r="K7" s="70">
        <f t="shared" si="1"/>
        <v>0</v>
      </c>
      <c r="L7" s="71">
        <f t="shared" si="1"/>
        <v>0</v>
      </c>
      <c r="M7" s="12"/>
      <c r="N7" s="72">
        <f>G7*10000+(H7+50)*100+E7</f>
        <v>5000</v>
      </c>
      <c r="O7" s="68">
        <f>RANK(N7,$N$4:$N$7)</f>
        <v>1</v>
      </c>
    </row>
    <row r="8" spans="4:8" ht="18" customHeight="1">
      <c r="D8" s="39"/>
      <c r="E8" s="73">
        <f>SUM(E4:E7)</f>
        <v>0</v>
      </c>
      <c r="F8" s="73">
        <f>SUM(F4:F7)</f>
        <v>0</v>
      </c>
      <c r="G8" s="73">
        <f>SUM(G4:G7)</f>
        <v>0</v>
      </c>
      <c r="H8" s="73">
        <f>SUM(H4:H7)</f>
        <v>0</v>
      </c>
    </row>
    <row r="9" spans="3:7" ht="18" customHeight="1">
      <c r="C9" s="42" t="s">
        <v>116</v>
      </c>
      <c r="D9" s="39"/>
      <c r="E9" s="74" t="s">
        <v>44</v>
      </c>
      <c r="F9" s="74"/>
      <c r="G9" s="75"/>
    </row>
    <row r="10" spans="2:12" ht="18" customHeight="1" thickBot="1">
      <c r="B10" s="111" t="s">
        <v>115</v>
      </c>
      <c r="C10" s="9" t="s">
        <v>117</v>
      </c>
      <c r="D10" s="42" t="s">
        <v>45</v>
      </c>
      <c r="E10" s="42" t="s">
        <v>46</v>
      </c>
      <c r="F10" s="42" t="s">
        <v>47</v>
      </c>
      <c r="G10" s="42" t="s">
        <v>48</v>
      </c>
      <c r="J10" s="42" t="s">
        <v>40</v>
      </c>
      <c r="K10" s="42" t="s">
        <v>41</v>
      </c>
      <c r="L10" s="42" t="s">
        <v>42</v>
      </c>
    </row>
    <row r="11" spans="2:12" ht="18" customHeight="1">
      <c r="B11" s="82">
        <v>11</v>
      </c>
      <c r="C11" s="121">
        <f>VLOOKUP($B11,MatchTable!$A$3:$G$50,3)</f>
        <v>41805.791666666664</v>
      </c>
      <c r="D11" s="122" t="str">
        <f>VLOOKUP($B11,MatchTable!$A$3:$H$50,6)</f>
        <v>ARG</v>
      </c>
      <c r="E11" s="76"/>
      <c r="F11" s="77">
        <f>IF(E12="","",E12)</f>
      </c>
      <c r="G11" s="78">
        <f>IF(E11="","",IF(E11&gt;E12,3,IF(E11=E12,1,0)))</f>
      </c>
      <c r="J11" s="79">
        <f>IF($E11="","",IF($G11=3,$D11,""))</f>
      </c>
      <c r="K11" s="80">
        <f>IF($E11="","",IF($G11=1,$D11,""))</f>
      </c>
      <c r="L11" s="81">
        <f>IF($E11="","",IF($G11=0,$D11,""))</f>
      </c>
    </row>
    <row r="12" spans="2:12" ht="18" customHeight="1" thickBot="1">
      <c r="B12" s="151">
        <f>B11</f>
        <v>11</v>
      </c>
      <c r="C12" s="124">
        <f>VLOOKUP($B12,MatchTable!$A$3:$G$50,4)</f>
        <v>41806.291666666664</v>
      </c>
      <c r="D12" s="125" t="str">
        <f>VLOOKUP($B12,MatchTable!$A$3:$H$50,8)</f>
        <v>BIH</v>
      </c>
      <c r="E12" s="83"/>
      <c r="F12" s="84">
        <f>IF(E11="","",E11)</f>
      </c>
      <c r="G12" s="85">
        <f>IF(E12="","",IF(E11&lt;E12,3,IF(E11=E12,1,0)))</f>
      </c>
      <c r="J12" s="86">
        <f aca="true" t="shared" si="2" ref="J12:J22">IF($E12="","",IF($G12=3,$D12,""))</f>
      </c>
      <c r="K12" s="73">
        <f aca="true" t="shared" si="3" ref="K12:K22">IF($E12="","",IF($G12=1,$D12,""))</f>
      </c>
      <c r="L12" s="87">
        <f aca="true" t="shared" si="4" ref="L12:L22">IF($E12="","",IF($G12=0,$D12,""))</f>
      </c>
    </row>
    <row r="13" spans="2:12" ht="18" customHeight="1">
      <c r="B13" s="82">
        <v>12</v>
      </c>
      <c r="C13" s="121">
        <f>VLOOKUP($B13,MatchTable!$A$3:$G$50,3)</f>
        <v>41806.666666666664</v>
      </c>
      <c r="D13" s="122" t="str">
        <f>VLOOKUP($B13,MatchTable!$A$3:$H$50,6)</f>
        <v>IRN</v>
      </c>
      <c r="E13" s="88"/>
      <c r="F13" s="89">
        <f>IF(E14="","",E14)</f>
      </c>
      <c r="G13" s="90">
        <f>IF(E13="","",IF(E13&gt;E14,3,IF(E13=E14,1,0)))</f>
      </c>
      <c r="J13" s="86">
        <f t="shared" si="2"/>
      </c>
      <c r="K13" s="73">
        <f t="shared" si="3"/>
      </c>
      <c r="L13" s="87">
        <f t="shared" si="4"/>
      </c>
    </row>
    <row r="14" spans="2:12" ht="18" customHeight="1" thickBot="1">
      <c r="B14" s="151">
        <f>B13</f>
        <v>12</v>
      </c>
      <c r="C14" s="124">
        <f>VLOOKUP($B14,MatchTable!$A$3:$G$50,4)</f>
        <v>41807.166666666664</v>
      </c>
      <c r="D14" s="125" t="str">
        <f>VLOOKUP($B14,MatchTable!$A$3:$H$50,8)</f>
        <v>NGA</v>
      </c>
      <c r="E14" s="91"/>
      <c r="F14" s="92">
        <f>IF(E13="","",E13)</f>
      </c>
      <c r="G14" s="93">
        <f>IF(E14="","",IF(E13&lt;E14,3,IF(E13=E14,1,0)))</f>
      </c>
      <c r="J14" s="86">
        <f t="shared" si="2"/>
      </c>
      <c r="K14" s="73">
        <f t="shared" si="3"/>
      </c>
      <c r="L14" s="87">
        <f t="shared" si="4"/>
      </c>
    </row>
    <row r="15" spans="2:12" ht="18" customHeight="1">
      <c r="B15" s="82">
        <v>27</v>
      </c>
      <c r="C15" s="121">
        <f>VLOOKUP($B15,MatchTable!$A$3:$G$50,3)</f>
        <v>41811.541666666664</v>
      </c>
      <c r="D15" s="122" t="str">
        <f>VLOOKUP($B15,MatchTable!$A$3:$H$50,6)</f>
        <v>ARG</v>
      </c>
      <c r="E15" s="76"/>
      <c r="F15" s="77">
        <f>IF(E16="","",E16)</f>
      </c>
      <c r="G15" s="78">
        <f>IF(E15="","",IF(E15&gt;E16,3,IF(E15=E16,1,0)))</f>
      </c>
      <c r="J15" s="86">
        <f t="shared" si="2"/>
      </c>
      <c r="K15" s="73">
        <f t="shared" si="3"/>
      </c>
      <c r="L15" s="87">
        <f t="shared" si="4"/>
      </c>
    </row>
    <row r="16" spans="2:12" ht="18" customHeight="1" thickBot="1">
      <c r="B16" s="151">
        <f>B15</f>
        <v>27</v>
      </c>
      <c r="C16" s="124">
        <f>VLOOKUP($B16,MatchTable!$A$3:$G$50,4)</f>
        <v>41812.041666666664</v>
      </c>
      <c r="D16" s="125" t="str">
        <f>VLOOKUP($B16,MatchTable!$A$3:$H$50,8)</f>
        <v>IRN</v>
      </c>
      <c r="E16" s="94"/>
      <c r="F16" s="95">
        <f>IF(E15="","",E15)</f>
      </c>
      <c r="G16" s="96">
        <f>IF(E16="","",IF(E15&lt;E16,3,IF(E15=E16,1,0)))</f>
      </c>
      <c r="J16" s="86">
        <f t="shared" si="2"/>
      </c>
      <c r="K16" s="73">
        <f t="shared" si="3"/>
      </c>
      <c r="L16" s="87">
        <f t="shared" si="4"/>
      </c>
    </row>
    <row r="17" spans="2:12" ht="18" customHeight="1">
      <c r="B17" s="82">
        <v>28</v>
      </c>
      <c r="C17" s="121">
        <f>VLOOKUP($B17,MatchTable!$A$3:$G$50,3)</f>
        <v>41811.75</v>
      </c>
      <c r="D17" s="122" t="str">
        <f>VLOOKUP($B17,MatchTable!$A$3:$H$50,6)</f>
        <v>NGA</v>
      </c>
      <c r="E17" s="97"/>
      <c r="F17" s="98">
        <f>IF(E18="","",E18)</f>
      </c>
      <c r="G17" s="99">
        <f>IF(E17="","",IF(E17&gt;E18,3,IF(E17=E18,1,0)))</f>
      </c>
      <c r="J17" s="86">
        <f t="shared" si="2"/>
      </c>
      <c r="K17" s="73">
        <f t="shared" si="3"/>
      </c>
      <c r="L17" s="87">
        <f t="shared" si="4"/>
      </c>
    </row>
    <row r="18" spans="2:12" ht="18" customHeight="1" thickBot="1">
      <c r="B18" s="151">
        <f>B17</f>
        <v>28</v>
      </c>
      <c r="C18" s="124">
        <f>VLOOKUP($B18,MatchTable!$A$3:$G$50,4)</f>
        <v>41812.291666666664</v>
      </c>
      <c r="D18" s="125" t="str">
        <f>VLOOKUP($B18,MatchTable!$A$3:$H$50,8)</f>
        <v>BIH</v>
      </c>
      <c r="E18" s="91"/>
      <c r="F18" s="92">
        <f>IF(E17="","",E17)</f>
      </c>
      <c r="G18" s="93">
        <f>IF(E18="","",IF(E17&lt;E18,3,IF(E17=E18,1,0)))</f>
      </c>
      <c r="J18" s="86">
        <f t="shared" si="2"/>
      </c>
      <c r="K18" s="73">
        <f t="shared" si="3"/>
      </c>
      <c r="L18" s="87">
        <f t="shared" si="4"/>
      </c>
    </row>
    <row r="19" spans="2:12" ht="18" customHeight="1">
      <c r="B19" s="82">
        <v>43</v>
      </c>
      <c r="C19" s="121">
        <f>VLOOKUP($B19,MatchTable!$A$3:$G$50,3)</f>
        <v>41815.541666666664</v>
      </c>
      <c r="D19" s="122" t="str">
        <f>VLOOKUP($B19,MatchTable!$A$3:$H$50,6)</f>
        <v>NGA</v>
      </c>
      <c r="E19" s="76"/>
      <c r="F19" s="100">
        <f>IF(E20="","",E20)</f>
      </c>
      <c r="G19" s="78">
        <f>IF(E19="","",IF(E19&gt;E20,3,IF(E19=E20,1,0)))</f>
      </c>
      <c r="J19" s="86">
        <f t="shared" si="2"/>
      </c>
      <c r="K19" s="73">
        <f t="shared" si="3"/>
      </c>
      <c r="L19" s="87">
        <f t="shared" si="4"/>
      </c>
    </row>
    <row r="20" spans="2:12" ht="18" customHeight="1" thickBot="1">
      <c r="B20" s="151">
        <f>B19</f>
        <v>43</v>
      </c>
      <c r="C20" s="124">
        <f>VLOOKUP($B20,MatchTable!$A$3:$G$50,4)</f>
        <v>41816.041666666664</v>
      </c>
      <c r="D20" s="125" t="str">
        <f>VLOOKUP($B20,MatchTable!$A$3:$H$50,8)</f>
        <v>ARG</v>
      </c>
      <c r="E20" s="94"/>
      <c r="F20" s="101">
        <f>IF(E19="","",E19)</f>
      </c>
      <c r="G20" s="96">
        <f>IF(E20="","",IF(E19&lt;E20,3,IF(E19=E20,1,0)))</f>
      </c>
      <c r="J20" s="86">
        <f t="shared" si="2"/>
      </c>
      <c r="K20" s="73">
        <f t="shared" si="3"/>
      </c>
      <c r="L20" s="87">
        <f t="shared" si="4"/>
      </c>
    </row>
    <row r="21" spans="2:12" ht="18" customHeight="1">
      <c r="B21" s="82">
        <v>44</v>
      </c>
      <c r="C21" s="121">
        <f>VLOOKUP($B21,MatchTable!$A$3:$G$50,3)</f>
        <v>41815.541666666664</v>
      </c>
      <c r="D21" s="122" t="str">
        <f>VLOOKUP($B21,MatchTable!$A$3:$H$50,6)</f>
        <v>BIH</v>
      </c>
      <c r="E21" s="97"/>
      <c r="F21" s="102">
        <f>IF(E22="","",E22)</f>
      </c>
      <c r="G21" s="99">
        <f>IF(E21="","",IF(E21&gt;E22,3,IF(E21=E22,1,0)))</f>
      </c>
      <c r="J21" s="86">
        <f t="shared" si="2"/>
      </c>
      <c r="K21" s="73">
        <f t="shared" si="3"/>
      </c>
      <c r="L21" s="87">
        <f t="shared" si="4"/>
      </c>
    </row>
    <row r="22" spans="2:12" ht="18" customHeight="1" thickBot="1">
      <c r="B22" s="151">
        <f>B21</f>
        <v>44</v>
      </c>
      <c r="C22" s="124">
        <f>VLOOKUP($B22,MatchTable!$A$3:$G$50,4)</f>
        <v>41816.041666666664</v>
      </c>
      <c r="D22" s="125" t="str">
        <f>VLOOKUP($B22,MatchTable!$A$3:$H$50,8)</f>
        <v>IRN</v>
      </c>
      <c r="E22" s="91"/>
      <c r="F22" s="103">
        <f>IF(E21="","",E21)</f>
      </c>
      <c r="G22" s="93">
        <f>IF(E22="","",IF(E21&lt;E22,3,IF(E21=E22,1,0)))</f>
      </c>
      <c r="J22" s="104">
        <f t="shared" si="2"/>
      </c>
      <c r="K22" s="105">
        <f t="shared" si="3"/>
      </c>
      <c r="L22" s="106">
        <f t="shared" si="4"/>
      </c>
    </row>
  </sheetData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E11" sqref="E11"/>
    </sheetView>
  </sheetViews>
  <sheetFormatPr defaultColWidth="8.796875" defaultRowHeight="18" customHeight="1"/>
  <cols>
    <col min="1" max="1" width="3.59765625" style="39" customWidth="1"/>
    <col min="2" max="2" width="3.09765625" style="39" customWidth="1"/>
    <col min="3" max="3" width="13.09765625" style="39" customWidth="1"/>
    <col min="4" max="4" width="5.59765625" style="42" customWidth="1"/>
    <col min="5" max="6" width="7.09765625" style="42" customWidth="1"/>
    <col min="7" max="8" width="7.09765625" style="42" bestFit="1" customWidth="1"/>
    <col min="9" max="9" width="2.3984375" style="39" customWidth="1"/>
    <col min="10" max="12" width="3.59765625" style="39" customWidth="1"/>
    <col min="13" max="13" width="2.3984375" style="39" customWidth="1"/>
    <col min="14" max="14" width="5.09765625" style="39" customWidth="1"/>
    <col min="15" max="15" width="5.09765625" style="39" bestFit="1" customWidth="1"/>
    <col min="16" max="16" width="1.59765625" style="39" customWidth="1"/>
    <col min="17" max="16384" width="9" style="39" customWidth="1"/>
  </cols>
  <sheetData>
    <row r="1" spans="2:9" ht="18" customHeight="1">
      <c r="B1" s="23" t="s">
        <v>402</v>
      </c>
      <c r="C1" s="23"/>
      <c r="D1" s="40"/>
      <c r="E1" s="40"/>
      <c r="F1" s="40"/>
      <c r="G1" s="41"/>
      <c r="H1" s="12"/>
      <c r="I1" s="12"/>
    </row>
    <row r="2" spans="2:3" ht="18" customHeight="1">
      <c r="B2" s="40" t="s">
        <v>49</v>
      </c>
      <c r="C2" s="23" t="s">
        <v>0</v>
      </c>
    </row>
    <row r="3" spans="1:15" ht="18" customHeight="1" thickBot="1">
      <c r="A3" s="43" t="s">
        <v>28</v>
      </c>
      <c r="C3" s="39" t="s">
        <v>1</v>
      </c>
      <c r="D3" s="9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/>
      <c r="J3" s="42" t="s">
        <v>7</v>
      </c>
      <c r="K3" s="42" t="s">
        <v>8</v>
      </c>
      <c r="L3" s="42" t="s">
        <v>9</v>
      </c>
      <c r="N3" s="42"/>
      <c r="O3" s="42" t="s">
        <v>10</v>
      </c>
    </row>
    <row r="4" spans="1:15" ht="18" customHeight="1">
      <c r="A4" s="44" t="str">
        <f>$B$2&amp;O4</f>
        <v>G1</v>
      </c>
      <c r="B4" s="45"/>
      <c r="C4" s="46" t="s">
        <v>394</v>
      </c>
      <c r="D4" s="47" t="s">
        <v>305</v>
      </c>
      <c r="E4" s="48">
        <f aca="true" t="shared" si="0" ref="E4:G7">SUMIF($D$11:$D$22,$D4,E$11:E$22)</f>
        <v>0</v>
      </c>
      <c r="F4" s="48">
        <f t="shared" si="0"/>
        <v>0</v>
      </c>
      <c r="G4" s="48">
        <f t="shared" si="0"/>
        <v>0</v>
      </c>
      <c r="H4" s="49">
        <f>E4-F4</f>
        <v>0</v>
      </c>
      <c r="I4" s="50"/>
      <c r="J4" s="51">
        <f aca="true" t="shared" si="1" ref="J4:L7">COUNTIF(J$11:J$22,$D4)</f>
        <v>0</v>
      </c>
      <c r="K4" s="52">
        <f t="shared" si="1"/>
        <v>0</v>
      </c>
      <c r="L4" s="53">
        <f t="shared" si="1"/>
        <v>0</v>
      </c>
      <c r="M4" s="12"/>
      <c r="N4" s="54">
        <f>G4*10000+(H4+50)*100+E4</f>
        <v>5000</v>
      </c>
      <c r="O4" s="49">
        <f>RANK(N4,$N$4:$N$7)</f>
        <v>1</v>
      </c>
    </row>
    <row r="5" spans="1:15" ht="18" customHeight="1">
      <c r="A5" s="44" t="str">
        <f>$B$2&amp;O5</f>
        <v>G1</v>
      </c>
      <c r="B5" s="55"/>
      <c r="C5" s="56" t="s">
        <v>395</v>
      </c>
      <c r="D5" s="57" t="s">
        <v>320</v>
      </c>
      <c r="E5" s="58">
        <f t="shared" si="0"/>
        <v>0</v>
      </c>
      <c r="F5" s="58">
        <f t="shared" si="0"/>
        <v>0</v>
      </c>
      <c r="G5" s="58">
        <f t="shared" si="0"/>
        <v>0</v>
      </c>
      <c r="H5" s="59">
        <f>E5-F5</f>
        <v>0</v>
      </c>
      <c r="I5" s="50"/>
      <c r="J5" s="60">
        <f t="shared" si="1"/>
        <v>0</v>
      </c>
      <c r="K5" s="61">
        <f t="shared" si="1"/>
        <v>0</v>
      </c>
      <c r="L5" s="62">
        <f t="shared" si="1"/>
        <v>0</v>
      </c>
      <c r="M5" s="12"/>
      <c r="N5" s="63">
        <f>G5*10000+(H5+50)*100+E5</f>
        <v>5000</v>
      </c>
      <c r="O5" s="59">
        <f>RANK(N5,$N$4:$N$7)</f>
        <v>1</v>
      </c>
    </row>
    <row r="6" spans="1:15" ht="18" customHeight="1">
      <c r="A6" s="44" t="str">
        <f>$B$2&amp;O6</f>
        <v>G1</v>
      </c>
      <c r="B6" s="55"/>
      <c r="C6" s="56" t="s">
        <v>396</v>
      </c>
      <c r="D6" s="57" t="s">
        <v>257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9">
        <f>E6-F6</f>
        <v>0</v>
      </c>
      <c r="I6" s="50"/>
      <c r="J6" s="60">
        <f t="shared" si="1"/>
        <v>0</v>
      </c>
      <c r="K6" s="61">
        <f t="shared" si="1"/>
        <v>0</v>
      </c>
      <c r="L6" s="62">
        <f t="shared" si="1"/>
        <v>0</v>
      </c>
      <c r="M6" s="12"/>
      <c r="N6" s="63">
        <f>G6*10000+(H6+50)*100+E6</f>
        <v>5000</v>
      </c>
      <c r="O6" s="59">
        <f>RANK(N6,$N$4:$N$7)</f>
        <v>1</v>
      </c>
    </row>
    <row r="7" spans="1:15" ht="18" customHeight="1" thickBot="1">
      <c r="A7" s="44" t="str">
        <f>$B$2&amp;O7</f>
        <v>G1</v>
      </c>
      <c r="B7" s="64"/>
      <c r="C7" s="65" t="s">
        <v>397</v>
      </c>
      <c r="D7" s="66" t="s">
        <v>63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8">
        <f>E7-F7</f>
        <v>0</v>
      </c>
      <c r="I7" s="50"/>
      <c r="J7" s="69">
        <f t="shared" si="1"/>
        <v>0</v>
      </c>
      <c r="K7" s="70">
        <f t="shared" si="1"/>
        <v>0</v>
      </c>
      <c r="L7" s="71">
        <f t="shared" si="1"/>
        <v>0</v>
      </c>
      <c r="M7" s="12"/>
      <c r="N7" s="72">
        <f>G7*10000+(H7+50)*100+E7</f>
        <v>5000</v>
      </c>
      <c r="O7" s="68">
        <f>RANK(N7,$N$4:$N$7)</f>
        <v>1</v>
      </c>
    </row>
    <row r="8" spans="4:8" ht="18" customHeight="1">
      <c r="D8" s="39"/>
      <c r="E8" s="73">
        <f>SUM(E4:E7)</f>
        <v>0</v>
      </c>
      <c r="F8" s="73">
        <f>SUM(F4:F7)</f>
        <v>0</v>
      </c>
      <c r="G8" s="73">
        <f>SUM(G4:G7)</f>
        <v>0</v>
      </c>
      <c r="H8" s="73">
        <f>SUM(H4:H7)</f>
        <v>0</v>
      </c>
    </row>
    <row r="9" spans="3:7" ht="18" customHeight="1">
      <c r="C9" s="42" t="s">
        <v>116</v>
      </c>
      <c r="D9" s="39"/>
      <c r="E9" s="74" t="s">
        <v>11</v>
      </c>
      <c r="F9" s="74"/>
      <c r="G9" s="75"/>
    </row>
    <row r="10" spans="2:12" ht="18" customHeight="1" thickBot="1">
      <c r="B10" s="111" t="s">
        <v>115</v>
      </c>
      <c r="C10" s="9" t="s">
        <v>117</v>
      </c>
      <c r="D10" s="42" t="s">
        <v>12</v>
      </c>
      <c r="E10" s="42" t="s">
        <v>13</v>
      </c>
      <c r="F10" s="42" t="s">
        <v>14</v>
      </c>
      <c r="G10" s="42" t="s">
        <v>15</v>
      </c>
      <c r="J10" s="42" t="s">
        <v>7</v>
      </c>
      <c r="K10" s="42" t="s">
        <v>8</v>
      </c>
      <c r="L10" s="42" t="s">
        <v>9</v>
      </c>
    </row>
    <row r="11" spans="2:12" ht="18" customHeight="1">
      <c r="B11" s="82">
        <v>13</v>
      </c>
      <c r="C11" s="121">
        <f>VLOOKUP($B11,MatchTable!$A$3:$G$50,3)</f>
        <v>41806.541666666664</v>
      </c>
      <c r="D11" s="122" t="str">
        <f>VLOOKUP($B11,MatchTable!$A$3:$H$50,6)</f>
        <v>GER</v>
      </c>
      <c r="E11" s="76"/>
      <c r="F11" s="77">
        <f>IF(E12="","",E12)</f>
      </c>
      <c r="G11" s="78">
        <f>IF(E11="","",IF(E11&gt;E12,3,IF(E11=E12,1,0)))</f>
      </c>
      <c r="J11" s="79">
        <f aca="true" t="shared" si="2" ref="J11:J22">IF($E11="","",IF($G11=3,$D11,""))</f>
      </c>
      <c r="K11" s="80">
        <f aca="true" t="shared" si="3" ref="K11:K22">IF($E11="","",IF($G11=1,$D11,""))</f>
      </c>
      <c r="L11" s="81">
        <f aca="true" t="shared" si="4" ref="L11:L22">IF($E11="","",IF($G11=0,$D11,""))</f>
      </c>
    </row>
    <row r="12" spans="2:12" ht="18" customHeight="1" thickBot="1">
      <c r="B12" s="151">
        <f>B11</f>
        <v>13</v>
      </c>
      <c r="C12" s="124">
        <f>VLOOKUP($B12,MatchTable!$A$3:$G$50,4)</f>
        <v>41807.041666666664</v>
      </c>
      <c r="D12" s="125" t="str">
        <f>VLOOKUP($B12,MatchTable!$A$3:$H$50,8)</f>
        <v>POR</v>
      </c>
      <c r="E12" s="83"/>
      <c r="F12" s="84">
        <f>IF(E11="","",E11)</f>
      </c>
      <c r="G12" s="85">
        <f>IF(E12="","",IF(E11&lt;E12,3,IF(E11=E12,1,0)))</f>
      </c>
      <c r="J12" s="86">
        <f t="shared" si="2"/>
      </c>
      <c r="K12" s="73">
        <f t="shared" si="3"/>
      </c>
      <c r="L12" s="87">
        <f t="shared" si="4"/>
      </c>
    </row>
    <row r="13" spans="2:12" ht="18" customHeight="1">
      <c r="B13" s="82">
        <v>14</v>
      </c>
      <c r="C13" s="121">
        <f>VLOOKUP($B13,MatchTable!$A$3:$G$50,3)</f>
        <v>41806.75</v>
      </c>
      <c r="D13" s="122" t="str">
        <f>VLOOKUP($B13,MatchTable!$A$3:$H$50,6)</f>
        <v>GHA</v>
      </c>
      <c r="E13" s="88"/>
      <c r="F13" s="89">
        <f>IF(E14="","",E14)</f>
      </c>
      <c r="G13" s="90">
        <f>IF(E13="","",IF(E13&gt;E14,3,IF(E13=E14,1,0)))</f>
      </c>
      <c r="J13" s="86">
        <f t="shared" si="2"/>
      </c>
      <c r="K13" s="73">
        <f t="shared" si="3"/>
      </c>
      <c r="L13" s="87">
        <f t="shared" si="4"/>
      </c>
    </row>
    <row r="14" spans="2:12" ht="18" customHeight="1" thickBot="1">
      <c r="B14" s="151">
        <f>B13</f>
        <v>14</v>
      </c>
      <c r="C14" s="124">
        <f>VLOOKUP($B14,MatchTable!$A$3:$G$50,4)</f>
        <v>41807.25</v>
      </c>
      <c r="D14" s="125" t="str">
        <f>VLOOKUP($B14,MatchTable!$A$3:$H$50,8)</f>
        <v>USA</v>
      </c>
      <c r="E14" s="91"/>
      <c r="F14" s="92">
        <f>IF(E13="","",E13)</f>
      </c>
      <c r="G14" s="93">
        <f>IF(E14="","",IF(E13&lt;E14,3,IF(E13=E14,1,0)))</f>
      </c>
      <c r="J14" s="86">
        <f t="shared" si="2"/>
      </c>
      <c r="K14" s="73">
        <f t="shared" si="3"/>
      </c>
      <c r="L14" s="87">
        <f t="shared" si="4"/>
      </c>
    </row>
    <row r="15" spans="2:12" ht="18" customHeight="1">
      <c r="B15" s="82">
        <v>29</v>
      </c>
      <c r="C15" s="121">
        <f>VLOOKUP($B15,MatchTable!$A$3:$G$50,3)</f>
        <v>41811.666666666664</v>
      </c>
      <c r="D15" s="122" t="str">
        <f>VLOOKUP($B15,MatchTable!$A$3:$H$50,6)</f>
        <v>GER</v>
      </c>
      <c r="E15" s="76"/>
      <c r="F15" s="77">
        <f>IF(E16="","",E16)</f>
      </c>
      <c r="G15" s="78">
        <f>IF(E15="","",IF(E15&gt;E16,3,IF(E15=E16,1,0)))</f>
      </c>
      <c r="J15" s="86">
        <f t="shared" si="2"/>
      </c>
      <c r="K15" s="73">
        <f t="shared" si="3"/>
      </c>
      <c r="L15" s="87">
        <f t="shared" si="4"/>
      </c>
    </row>
    <row r="16" spans="2:12" ht="18" customHeight="1" thickBot="1">
      <c r="B16" s="151">
        <f>B15</f>
        <v>29</v>
      </c>
      <c r="C16" s="124">
        <f>VLOOKUP($B16,MatchTable!$A$3:$G$50,4)</f>
        <v>41812.166666666664</v>
      </c>
      <c r="D16" s="125" t="str">
        <f>VLOOKUP($B16,MatchTable!$A$3:$H$50,8)</f>
        <v>GHA</v>
      </c>
      <c r="E16" s="94"/>
      <c r="F16" s="95">
        <f>IF(E15="","",E15)</f>
      </c>
      <c r="G16" s="96">
        <f>IF(E16="","",IF(E15&lt;E16,3,IF(E15=E16,1,0)))</f>
      </c>
      <c r="J16" s="86">
        <f t="shared" si="2"/>
      </c>
      <c r="K16" s="73">
        <f t="shared" si="3"/>
      </c>
      <c r="L16" s="87">
        <f t="shared" si="4"/>
      </c>
    </row>
    <row r="17" spans="2:12" ht="18" customHeight="1">
      <c r="B17" s="82">
        <v>30</v>
      </c>
      <c r="C17" s="121">
        <f>VLOOKUP($B17,MatchTable!$A$3:$G$50,3)</f>
        <v>41812.75</v>
      </c>
      <c r="D17" s="122" t="str">
        <f>VLOOKUP($B17,MatchTable!$A$3:$H$50,6)</f>
        <v>USA</v>
      </c>
      <c r="E17" s="97"/>
      <c r="F17" s="98">
        <f>IF(E18="","",E18)</f>
      </c>
      <c r="G17" s="99">
        <f>IF(E17="","",IF(E17&gt;E18,3,IF(E17=E18,1,0)))</f>
      </c>
      <c r="J17" s="86">
        <f t="shared" si="2"/>
      </c>
      <c r="K17" s="73">
        <f t="shared" si="3"/>
      </c>
      <c r="L17" s="87">
        <f t="shared" si="4"/>
      </c>
    </row>
    <row r="18" spans="2:12" ht="18" customHeight="1" thickBot="1">
      <c r="B18" s="151">
        <f>B17</f>
        <v>30</v>
      </c>
      <c r="C18" s="124">
        <f>VLOOKUP($B18,MatchTable!$A$3:$G$50,4)</f>
        <v>41813.291666666664</v>
      </c>
      <c r="D18" s="125" t="str">
        <f>VLOOKUP($B18,MatchTable!$A$3:$H$50,8)</f>
        <v>POR</v>
      </c>
      <c r="E18" s="91"/>
      <c r="F18" s="92">
        <f>IF(E17="","",E17)</f>
      </c>
      <c r="G18" s="93">
        <f>IF(E18="","",IF(E17&lt;E18,3,IF(E17=E18,1,0)))</f>
      </c>
      <c r="J18" s="86">
        <f t="shared" si="2"/>
      </c>
      <c r="K18" s="73">
        <f t="shared" si="3"/>
      </c>
      <c r="L18" s="87">
        <f t="shared" si="4"/>
      </c>
    </row>
    <row r="19" spans="2:12" ht="18" customHeight="1">
      <c r="B19" s="82">
        <v>45</v>
      </c>
      <c r="C19" s="121">
        <f>VLOOKUP($B19,MatchTable!$A$3:$G$50,3)</f>
        <v>41816.541666666664</v>
      </c>
      <c r="D19" s="122" t="str">
        <f>VLOOKUP($B19,MatchTable!$A$3:$H$50,6)</f>
        <v>USA</v>
      </c>
      <c r="E19" s="76"/>
      <c r="F19" s="100">
        <f>IF(E20="","",E20)</f>
      </c>
      <c r="G19" s="78">
        <f>IF(E19="","",IF(E19&gt;E20,3,IF(E19=E20,1,0)))</f>
      </c>
      <c r="J19" s="86">
        <f t="shared" si="2"/>
      </c>
      <c r="K19" s="73">
        <f t="shared" si="3"/>
      </c>
      <c r="L19" s="87">
        <f t="shared" si="4"/>
      </c>
    </row>
    <row r="20" spans="2:12" ht="18" customHeight="1" thickBot="1">
      <c r="B20" s="151">
        <f>B19</f>
        <v>45</v>
      </c>
      <c r="C20" s="124">
        <f>VLOOKUP($B20,MatchTable!$A$3:$G$50,4)</f>
        <v>41817.041666666664</v>
      </c>
      <c r="D20" s="125" t="str">
        <f>VLOOKUP($B20,MatchTable!$A$3:$H$50,8)</f>
        <v>GER</v>
      </c>
      <c r="E20" s="94"/>
      <c r="F20" s="101">
        <f>IF(E19="","",E19)</f>
      </c>
      <c r="G20" s="96">
        <f>IF(E20="","",IF(E19&lt;E20,3,IF(E19=E20,1,0)))</f>
      </c>
      <c r="J20" s="86">
        <f t="shared" si="2"/>
      </c>
      <c r="K20" s="73">
        <f t="shared" si="3"/>
      </c>
      <c r="L20" s="87">
        <f t="shared" si="4"/>
      </c>
    </row>
    <row r="21" spans="2:12" ht="18" customHeight="1">
      <c r="B21" s="82">
        <v>46</v>
      </c>
      <c r="C21" s="121">
        <f>VLOOKUP($B21,MatchTable!$A$3:$G$50,3)</f>
        <v>41816.541666666664</v>
      </c>
      <c r="D21" s="122" t="str">
        <f>VLOOKUP($B21,MatchTable!$A$3:$H$50,6)</f>
        <v>POR</v>
      </c>
      <c r="E21" s="97"/>
      <c r="F21" s="102">
        <f>IF(E22="","",E22)</f>
      </c>
      <c r="G21" s="99">
        <f>IF(E21="","",IF(E21&gt;E22,3,IF(E21=E22,1,0)))</f>
      </c>
      <c r="J21" s="86">
        <f t="shared" si="2"/>
      </c>
      <c r="K21" s="73">
        <f t="shared" si="3"/>
      </c>
      <c r="L21" s="87">
        <f t="shared" si="4"/>
      </c>
    </row>
    <row r="22" spans="2:12" ht="18" customHeight="1" thickBot="1">
      <c r="B22" s="151">
        <f>B21</f>
        <v>46</v>
      </c>
      <c r="C22" s="124">
        <f>VLOOKUP($B22,MatchTable!$A$3:$G$50,4)</f>
        <v>41817.041666666664</v>
      </c>
      <c r="D22" s="125" t="str">
        <f>VLOOKUP($B22,MatchTable!$A$3:$H$50,8)</f>
        <v>GHA</v>
      </c>
      <c r="E22" s="91"/>
      <c r="F22" s="103">
        <f>IF(E21="","",E21)</f>
      </c>
      <c r="G22" s="93">
        <f>IF(E22="","",IF(E21&lt;E22,3,IF(E21=E22,1,0)))</f>
      </c>
      <c r="J22" s="104">
        <f t="shared" si="2"/>
      </c>
      <c r="K22" s="105">
        <f t="shared" si="3"/>
      </c>
      <c r="L22" s="106">
        <f t="shared" si="4"/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 Hajime</dc:creator>
  <cp:keywords/>
  <dc:description/>
  <cp:lastModifiedBy>YOSHIDA Hajime</cp:lastModifiedBy>
  <cp:lastPrinted>2014-06-14T10:21:32Z</cp:lastPrinted>
  <dcterms:created xsi:type="dcterms:W3CDTF">2005-02-15T15:36:04Z</dcterms:created>
  <dcterms:modified xsi:type="dcterms:W3CDTF">2014-06-16T05:07:07Z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