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aaa\ことでんバス\"/>
    </mc:Choice>
  </mc:AlternateContent>
  <xr:revisionPtr revIDLastSave="0" documentId="8_{B327287B-954B-4CFF-A1D9-F8B41A12442D}" xr6:coauthVersionLast="47" xr6:coauthVersionMax="47" xr10:uidLastSave="{00000000-0000-0000-0000-000000000000}"/>
  <workbookProtection workbookAlgorithmName="SHA-512" workbookHashValue="8H0/ZJo3aE2DYM1SE//3LJ22Xv3+FhAEFQf8mXsUkFyACk1SWRYE0NJGMTDsm6n5N1qA/GUO15O/n/Pg08lWhg==" workbookSaltValue="t8tDDKy8ZJ3Kg9aV3VJ5aQ==" workbookSpinCount="100000" lockStructure="1"/>
  <bookViews>
    <workbookView xWindow="-120" yWindow="-120" windowWidth="19440" windowHeight="15000" tabRatio="604" xr2:uid="{00000000-000D-0000-FFFF-FFFF00000000}"/>
  </bookViews>
  <sheets>
    <sheet name="印刷プレビュー" sheetId="11" r:id="rId1"/>
    <sheet name="データシート" sheetId="14" state="hidden" r:id="rId2"/>
    <sheet name="データシート２" sheetId="15" state="hidden" r:id="rId3"/>
    <sheet name="時間選択" sheetId="17" state="hidden" r:id="rId4"/>
  </sheets>
  <definedNames>
    <definedName name="_xlnm.Print_Area" localSheetId="0">印刷プレビュー!$B$1:$U$48</definedName>
  </definedNames>
  <calcPr calcId="191029"/>
</workbook>
</file>

<file path=xl/calcChain.xml><?xml version="1.0" encoding="utf-8"?>
<calcChain xmlns="http://schemas.openxmlformats.org/spreadsheetml/2006/main">
  <c r="Q453" i="14" l="1"/>
  <c r="Q452" i="14"/>
  <c r="Q451" i="14"/>
  <c r="Q450" i="14"/>
  <c r="Q449" i="14"/>
  <c r="Q448" i="14"/>
  <c r="Q447" i="14"/>
  <c r="Q446" i="14"/>
  <c r="Q445" i="14"/>
  <c r="Q444" i="14"/>
  <c r="Q443" i="14"/>
  <c r="G27" i="11"/>
  <c r="G24" i="11"/>
  <c r="G21" i="11"/>
  <c r="G18" i="11"/>
  <c r="Q461" i="14"/>
  <c r="O461" i="14"/>
  <c r="K461" i="14"/>
  <c r="I461" i="14"/>
  <c r="G461" i="14"/>
  <c r="F461" i="14"/>
  <c r="E461" i="14"/>
  <c r="D461" i="14"/>
  <c r="Q460" i="14"/>
  <c r="O460" i="14"/>
  <c r="K460" i="14"/>
  <c r="I460" i="14"/>
  <c r="G460" i="14"/>
  <c r="F460" i="14"/>
  <c r="E460" i="14"/>
  <c r="D460" i="14"/>
  <c r="Q459" i="14"/>
  <c r="O459" i="14"/>
  <c r="K459" i="14"/>
  <c r="I459" i="14"/>
  <c r="G459" i="14"/>
  <c r="F459" i="14"/>
  <c r="E459" i="14"/>
  <c r="D459" i="14"/>
  <c r="Q458" i="14"/>
  <c r="O458" i="14"/>
  <c r="K458" i="14"/>
  <c r="I458" i="14"/>
  <c r="G458" i="14"/>
  <c r="F458" i="14"/>
  <c r="E458" i="14"/>
  <c r="D458" i="14"/>
  <c r="Q457" i="14"/>
  <c r="O457" i="14"/>
  <c r="K457" i="14"/>
  <c r="I457" i="14"/>
  <c r="G457" i="14"/>
  <c r="F457" i="14"/>
  <c r="E457" i="14"/>
  <c r="D457" i="14"/>
  <c r="Q456" i="14"/>
  <c r="O456" i="14"/>
  <c r="K456" i="14"/>
  <c r="I456" i="14"/>
  <c r="G456" i="14"/>
  <c r="F456" i="14"/>
  <c r="E456" i="14"/>
  <c r="D456" i="14"/>
  <c r="R455" i="14"/>
  <c r="X7" i="11"/>
  <c r="AA18" i="11"/>
  <c r="D61" i="14"/>
  <c r="M463" i="14"/>
  <c r="P463" i="14" s="1"/>
  <c r="M462" i="14"/>
  <c r="P462" i="14" s="1"/>
  <c r="M382" i="14"/>
  <c r="M381" i="14"/>
  <c r="AB462" i="14" l="1"/>
  <c r="AB463" i="14"/>
  <c r="E463" i="14"/>
  <c r="E462" i="14"/>
  <c r="B4" i="17"/>
  <c r="B5" i="17" s="1"/>
  <c r="B6" i="17" s="1"/>
  <c r="B7" i="17" s="1"/>
  <c r="B8" i="17" s="1"/>
  <c r="B10" i="17" s="1"/>
  <c r="B11" i="17" s="1"/>
  <c r="B12" i="17" s="1"/>
  <c r="B13" i="17" s="1"/>
  <c r="B14" i="17" s="1"/>
  <c r="B15" i="17" s="1"/>
  <c r="B16" i="17" s="1"/>
  <c r="B17" i="17" s="1"/>
  <c r="B18" i="17" s="1"/>
  <c r="B19" i="17" s="1"/>
  <c r="B20" i="17" s="1"/>
  <c r="B21" i="17" s="1"/>
  <c r="B23" i="17" s="1"/>
  <c r="B24" i="17" s="1"/>
  <c r="B25" i="17" s="1"/>
  <c r="B26" i="17" s="1"/>
  <c r="B27" i="17" s="1"/>
  <c r="B28" i="17" s="1"/>
  <c r="B29" i="17" s="1"/>
  <c r="B30" i="17" s="1"/>
  <c r="B31" i="17" s="1"/>
  <c r="B32" i="17" s="1"/>
  <c r="B33" i="17" s="1"/>
  <c r="B34" i="17" s="1"/>
  <c r="B36" i="17" s="1"/>
  <c r="B37" i="17" s="1"/>
  <c r="B38" i="17" s="1"/>
  <c r="B39" i="17" s="1"/>
  <c r="B40" i="17" s="1"/>
  <c r="B41" i="17" s="1"/>
  <c r="B42" i="17" s="1"/>
  <c r="B43" i="17" s="1"/>
  <c r="B44" i="17" s="1"/>
  <c r="B45" i="17" s="1"/>
  <c r="B46" i="17" s="1"/>
  <c r="B47" i="17" s="1"/>
  <c r="B49" i="17" s="1"/>
  <c r="B50" i="17" s="1"/>
  <c r="B51" i="17" s="1"/>
  <c r="B52" i="17" s="1"/>
  <c r="B53" i="17" s="1"/>
  <c r="B54" i="17" s="1"/>
  <c r="B55" i="17" s="1"/>
  <c r="B56" i="17" s="1"/>
  <c r="B57" i="17" s="1"/>
  <c r="B58" i="17" s="1"/>
  <c r="B59" i="17" s="1"/>
  <c r="B60" i="17" s="1"/>
  <c r="B62" i="17" s="1"/>
  <c r="B63" i="17" s="1"/>
  <c r="B64" i="17" s="1"/>
  <c r="B65" i="17" s="1"/>
  <c r="B66" i="17" s="1"/>
  <c r="B67" i="17" s="1"/>
  <c r="B68" i="17" s="1"/>
  <c r="B69" i="17" s="1"/>
  <c r="B70" i="17" s="1"/>
  <c r="B71" i="17" s="1"/>
  <c r="B72" i="17" s="1"/>
  <c r="B73" i="17" s="1"/>
  <c r="B75" i="17" s="1"/>
  <c r="B76" i="17" s="1"/>
  <c r="B77" i="17" s="1"/>
  <c r="B78" i="17" s="1"/>
  <c r="B79" i="17" s="1"/>
  <c r="B80" i="17" s="1"/>
  <c r="B81" i="17" s="1"/>
  <c r="B82" i="17" s="1"/>
  <c r="B83" i="17" s="1"/>
  <c r="B84" i="17" s="1"/>
  <c r="B85" i="17" s="1"/>
  <c r="B86" i="17" s="1"/>
  <c r="B88" i="17" s="1"/>
  <c r="B89" i="17" s="1"/>
  <c r="B90" i="17" s="1"/>
  <c r="B91" i="17" s="1"/>
  <c r="B92" i="17" s="1"/>
  <c r="B93" i="17" s="1"/>
  <c r="B94" i="17" s="1"/>
  <c r="B95" i="17" s="1"/>
  <c r="B96" i="17" s="1"/>
  <c r="B97" i="17" s="1"/>
  <c r="B98" i="17" s="1"/>
  <c r="B99" i="17" s="1"/>
  <c r="B101" i="17" s="1"/>
  <c r="B102" i="17" s="1"/>
  <c r="B103" i="17" s="1"/>
  <c r="B104" i="17" s="1"/>
  <c r="B105" i="17" s="1"/>
  <c r="B106" i="17" s="1"/>
  <c r="B107" i="17" s="1"/>
  <c r="B108" i="17" s="1"/>
  <c r="B109" i="17" s="1"/>
  <c r="B110" i="17" s="1"/>
  <c r="B111" i="17" s="1"/>
  <c r="B112" i="17" s="1"/>
  <c r="B114" i="17" s="1"/>
  <c r="B115" i="17" s="1"/>
  <c r="B116" i="17" s="1"/>
  <c r="B117" i="17" s="1"/>
  <c r="B118" i="17" s="1"/>
  <c r="B119" i="17" s="1"/>
  <c r="B120" i="17" s="1"/>
  <c r="B121" i="17" s="1"/>
  <c r="B122" i="17" s="1"/>
  <c r="B123" i="17" s="1"/>
  <c r="B124" i="17" s="1"/>
  <c r="B125" i="17" s="1"/>
  <c r="B127" i="17" s="1"/>
  <c r="B128" i="17" s="1"/>
  <c r="B129" i="17" s="1"/>
  <c r="B130" i="17" s="1"/>
  <c r="B131" i="17" s="1"/>
  <c r="B132" i="17" s="1"/>
  <c r="B133" i="17" s="1"/>
  <c r="B134" i="17" s="1"/>
  <c r="B135" i="17" s="1"/>
  <c r="B136" i="17" s="1"/>
  <c r="B137" i="17" s="1"/>
  <c r="B138" i="17" s="1"/>
  <c r="B139" i="17" s="1"/>
  <c r="N462" i="14" l="1"/>
  <c r="D462" i="14"/>
  <c r="N463" i="14"/>
  <c r="D463" i="14"/>
  <c r="I463" i="14" s="1"/>
  <c r="E382" i="14"/>
  <c r="E41" i="11"/>
  <c r="E42" i="11" s="1"/>
  <c r="E43" i="11" s="1"/>
  <c r="E44" i="11" s="1"/>
  <c r="H9" i="11"/>
  <c r="E381" i="14" l="1"/>
  <c r="I462" i="14"/>
  <c r="G463" i="14"/>
  <c r="O463" i="14"/>
  <c r="F463" i="14"/>
  <c r="K463" i="14"/>
  <c r="G462" i="14"/>
  <c r="F462" i="14"/>
  <c r="O462" i="14"/>
  <c r="K462" i="14"/>
  <c r="N381" i="14"/>
  <c r="D381" i="14"/>
  <c r="N382" i="14"/>
  <c r="D382" i="14"/>
  <c r="AB46" i="11"/>
  <c r="AA28" i="11"/>
  <c r="AA46" i="11"/>
  <c r="AA38" i="11"/>
  <c r="Q463" i="14" l="1"/>
  <c r="Q462" i="14"/>
  <c r="I382" i="14"/>
  <c r="U382" i="14"/>
  <c r="F382" i="14"/>
  <c r="V382" i="14" s="1"/>
  <c r="K382" i="14"/>
  <c r="G382" i="14"/>
  <c r="I381" i="14"/>
  <c r="U381" i="14"/>
  <c r="K381" i="14"/>
  <c r="G381" i="14"/>
  <c r="F381" i="14"/>
  <c r="O9" i="11"/>
  <c r="AA16" i="11"/>
  <c r="AF53" i="11"/>
  <c r="V381" i="14" l="1"/>
  <c r="W9" i="15"/>
  <c r="V9" i="15"/>
  <c r="U9" i="15"/>
  <c r="T9" i="15"/>
  <c r="S9" i="15"/>
  <c r="R9" i="15"/>
  <c r="Q9" i="15"/>
  <c r="P9" i="15"/>
  <c r="O9" i="15"/>
  <c r="N9" i="15"/>
  <c r="M9" i="15"/>
  <c r="L9" i="15"/>
  <c r="K9" i="15"/>
  <c r="J9" i="15"/>
  <c r="I9" i="15"/>
  <c r="H9" i="15"/>
  <c r="G9" i="15"/>
  <c r="F9" i="15"/>
  <c r="E9" i="15"/>
  <c r="D9" i="15"/>
  <c r="B9" i="15"/>
  <c r="W37" i="15" l="1"/>
  <c r="D37" i="15"/>
  <c r="D38" i="15"/>
  <c r="D39" i="15"/>
  <c r="D27" i="15"/>
  <c r="D28" i="15"/>
  <c r="D29" i="15"/>
  <c r="D17" i="15"/>
  <c r="D18" i="15"/>
  <c r="D19" i="15"/>
  <c r="AB47" i="15"/>
  <c r="P50" i="15"/>
  <c r="U29" i="11" s="1"/>
  <c r="G7" i="15"/>
  <c r="W39" i="15" l="1"/>
  <c r="M39" i="15" s="1"/>
  <c r="V39" i="15"/>
  <c r="U39" i="15"/>
  <c r="T39" i="15"/>
  <c r="S39" i="15"/>
  <c r="R39" i="15"/>
  <c r="Q39" i="15"/>
  <c r="P39" i="15"/>
  <c r="O39" i="15"/>
  <c r="N39" i="15"/>
  <c r="L39" i="15"/>
  <c r="K39" i="15"/>
  <c r="J39" i="15"/>
  <c r="I39" i="15"/>
  <c r="H39" i="15"/>
  <c r="G39" i="15"/>
  <c r="F39" i="15"/>
  <c r="E39" i="15"/>
  <c r="B39" i="15"/>
  <c r="W38" i="15"/>
  <c r="M38" i="15" s="1"/>
  <c r="V38" i="15"/>
  <c r="U38" i="15"/>
  <c r="T38" i="15"/>
  <c r="S38" i="15"/>
  <c r="R38" i="15"/>
  <c r="Q38" i="15"/>
  <c r="P38" i="15"/>
  <c r="O38" i="15"/>
  <c r="N38" i="15"/>
  <c r="L38" i="15"/>
  <c r="K38" i="15"/>
  <c r="J38" i="15"/>
  <c r="I38" i="15"/>
  <c r="H38" i="15"/>
  <c r="G38" i="15"/>
  <c r="F38" i="15"/>
  <c r="E38" i="15"/>
  <c r="B38" i="15"/>
  <c r="M37" i="15"/>
  <c r="V37" i="15"/>
  <c r="U37" i="15"/>
  <c r="T37" i="15"/>
  <c r="S37" i="15"/>
  <c r="R37" i="15"/>
  <c r="Q37" i="15"/>
  <c r="P37" i="15"/>
  <c r="O37" i="15"/>
  <c r="N37" i="15"/>
  <c r="L37" i="15"/>
  <c r="K37" i="15"/>
  <c r="J37" i="15"/>
  <c r="I37" i="15"/>
  <c r="H37" i="15"/>
  <c r="G37" i="15"/>
  <c r="F37" i="15"/>
  <c r="E37" i="15"/>
  <c r="B37" i="15"/>
  <c r="B36" i="15"/>
  <c r="W19" i="15"/>
  <c r="V19" i="15"/>
  <c r="U19" i="15"/>
  <c r="T19" i="15"/>
  <c r="S19" i="15"/>
  <c r="R19" i="15"/>
  <c r="Q19" i="15"/>
  <c r="P19" i="15"/>
  <c r="O19" i="15"/>
  <c r="N19" i="15"/>
  <c r="M19" i="15"/>
  <c r="L19" i="15"/>
  <c r="K19" i="15"/>
  <c r="J19" i="15"/>
  <c r="I19" i="15"/>
  <c r="H19" i="15"/>
  <c r="G19" i="15"/>
  <c r="F19" i="15"/>
  <c r="E19" i="15"/>
  <c r="B19" i="15"/>
  <c r="W18" i="15"/>
  <c r="V18" i="15"/>
  <c r="U18" i="15"/>
  <c r="T18" i="15"/>
  <c r="S18" i="15"/>
  <c r="R18" i="15"/>
  <c r="Q18" i="15"/>
  <c r="P18" i="15"/>
  <c r="O18" i="15"/>
  <c r="N18" i="15"/>
  <c r="M18" i="15"/>
  <c r="L18" i="15"/>
  <c r="K18" i="15"/>
  <c r="J18" i="15"/>
  <c r="I18" i="15"/>
  <c r="H18" i="15"/>
  <c r="G18" i="15"/>
  <c r="F18" i="15"/>
  <c r="E18" i="15"/>
  <c r="B18" i="15"/>
  <c r="J17" i="15"/>
  <c r="E33" i="11"/>
  <c r="W3" i="15"/>
  <c r="V3" i="15"/>
  <c r="U3" i="15"/>
  <c r="T3" i="15"/>
  <c r="S3" i="15"/>
  <c r="J3" i="15"/>
  <c r="H3" i="15"/>
  <c r="AA45" i="11"/>
  <c r="AA37" i="11"/>
  <c r="AA27" i="11"/>
  <c r="AB38" i="11"/>
  <c r="AB18" i="11"/>
  <c r="AB28" i="11"/>
  <c r="D67" i="14"/>
  <c r="D65" i="14"/>
  <c r="E17" i="15"/>
  <c r="B6" i="15"/>
  <c r="AF40" i="11"/>
  <c r="AF39" i="11"/>
  <c r="AF38" i="11"/>
  <c r="AF37" i="11"/>
  <c r="AF28" i="11"/>
  <c r="AF25" i="11"/>
  <c r="AF27" i="11"/>
  <c r="AF29" i="11"/>
  <c r="W27" i="15"/>
  <c r="W28" i="15"/>
  <c r="W29" i="15"/>
  <c r="W17" i="15"/>
  <c r="D66" i="14"/>
  <c r="D64" i="14"/>
  <c r="D63" i="14"/>
  <c r="AF52" i="11"/>
  <c r="AF51" i="11"/>
  <c r="AF47" i="11"/>
  <c r="AF46" i="11"/>
  <c r="AF45" i="11"/>
  <c r="AF44" i="11"/>
  <c r="AF43" i="11"/>
  <c r="AF36" i="11"/>
  <c r="AF35" i="11"/>
  <c r="AF23" i="11"/>
  <c r="AF18" i="11"/>
  <c r="AF16" i="11"/>
  <c r="AF15" i="11"/>
  <c r="AF14" i="11"/>
  <c r="AF13" i="11"/>
  <c r="D62" i="14"/>
  <c r="W7" i="15"/>
  <c r="W8" i="15"/>
  <c r="E27" i="15"/>
  <c r="F27" i="15"/>
  <c r="G27" i="15"/>
  <c r="H27" i="15"/>
  <c r="I27" i="15"/>
  <c r="J27" i="15"/>
  <c r="K27" i="15"/>
  <c r="L27" i="15"/>
  <c r="M27" i="15"/>
  <c r="N27" i="15"/>
  <c r="O27" i="15"/>
  <c r="P27" i="15"/>
  <c r="Q27" i="15"/>
  <c r="R27" i="15"/>
  <c r="S27" i="15"/>
  <c r="T27" i="15"/>
  <c r="U27" i="15"/>
  <c r="V27" i="15"/>
  <c r="E28" i="15"/>
  <c r="F28" i="15"/>
  <c r="G28" i="15"/>
  <c r="H28" i="15"/>
  <c r="I28" i="15"/>
  <c r="J28" i="15"/>
  <c r="K28" i="15"/>
  <c r="L28" i="15"/>
  <c r="M28" i="15"/>
  <c r="N28" i="15"/>
  <c r="O28" i="15"/>
  <c r="P28" i="15"/>
  <c r="Q28" i="15"/>
  <c r="R28" i="15"/>
  <c r="S28" i="15"/>
  <c r="T28" i="15"/>
  <c r="U28" i="15"/>
  <c r="V28" i="15"/>
  <c r="E29" i="15"/>
  <c r="F29" i="15"/>
  <c r="G29" i="15"/>
  <c r="H29" i="15"/>
  <c r="I29" i="15"/>
  <c r="J29" i="15"/>
  <c r="K29" i="15"/>
  <c r="L29" i="15"/>
  <c r="M29" i="15"/>
  <c r="N29" i="15"/>
  <c r="O29" i="15"/>
  <c r="P29" i="15"/>
  <c r="Q29" i="15"/>
  <c r="R29" i="15"/>
  <c r="S29" i="15"/>
  <c r="T29" i="15"/>
  <c r="U29" i="15"/>
  <c r="V29" i="15"/>
  <c r="F17" i="15"/>
  <c r="G17" i="15"/>
  <c r="H17" i="15"/>
  <c r="I17" i="15"/>
  <c r="K17" i="15"/>
  <c r="L17" i="15"/>
  <c r="M17" i="15"/>
  <c r="N17" i="15"/>
  <c r="O17" i="15"/>
  <c r="P17" i="15"/>
  <c r="Q17" i="15"/>
  <c r="R17" i="15"/>
  <c r="S17" i="15"/>
  <c r="T17" i="15"/>
  <c r="U17" i="15"/>
  <c r="V17" i="15"/>
  <c r="B27" i="15"/>
  <c r="B28" i="15"/>
  <c r="B29" i="15"/>
  <c r="B17" i="15"/>
  <c r="D8" i="15"/>
  <c r="D10" i="15"/>
  <c r="D20" i="15"/>
  <c r="D40" i="15"/>
  <c r="B16" i="15"/>
  <c r="B26" i="15"/>
  <c r="L7" i="15"/>
  <c r="AF11" i="11"/>
  <c r="AF10" i="11"/>
  <c r="AF9" i="11"/>
  <c r="AF8" i="11"/>
  <c r="AF7" i="11"/>
  <c r="B7" i="15"/>
  <c r="B8" i="15"/>
  <c r="F7" i="15"/>
  <c r="I7" i="15"/>
  <c r="J7" i="15"/>
  <c r="K7" i="15"/>
  <c r="M7" i="15"/>
  <c r="N7" i="15"/>
  <c r="S7" i="15"/>
  <c r="T7" i="15"/>
  <c r="U7" i="15"/>
  <c r="V7" i="15"/>
  <c r="E8" i="15"/>
  <c r="F8" i="15"/>
  <c r="G8" i="15"/>
  <c r="H8" i="15"/>
  <c r="I8" i="15"/>
  <c r="K8" i="15"/>
  <c r="L8" i="15"/>
  <c r="M8" i="15"/>
  <c r="N8" i="15"/>
  <c r="O8" i="15"/>
  <c r="P8" i="15"/>
  <c r="Q8" i="15"/>
  <c r="S8" i="15"/>
  <c r="T8" i="15"/>
  <c r="U8" i="15"/>
  <c r="V8" i="15"/>
  <c r="A1" i="14" l="1"/>
  <c r="A11" i="14"/>
  <c r="R7" i="15"/>
  <c r="R8" i="15"/>
  <c r="A4" i="14" l="1"/>
  <c r="Y6" i="11"/>
  <c r="H7" i="11"/>
  <c r="F7" i="11"/>
  <c r="B7" i="11"/>
  <c r="Q454" i="14" l="1"/>
  <c r="P434" i="14"/>
  <c r="O414" i="14"/>
  <c r="P454" i="14"/>
  <c r="O434" i="14"/>
  <c r="Q408" i="14"/>
  <c r="O454" i="14"/>
  <c r="N434" i="14"/>
  <c r="P408" i="14"/>
  <c r="M454" i="14"/>
  <c r="K434" i="14"/>
  <c r="O408" i="14"/>
  <c r="I454" i="14"/>
  <c r="G434" i="14"/>
  <c r="Q405" i="14"/>
  <c r="Q414" i="14"/>
  <c r="O405" i="14"/>
  <c r="P414" i="14"/>
  <c r="E454" i="14"/>
  <c r="F434" i="14"/>
  <c r="P405" i="14"/>
  <c r="D454" i="14"/>
  <c r="Q434" i="14"/>
  <c r="H405" i="14"/>
  <c r="Q103" i="14"/>
  <c r="G103" i="14"/>
  <c r="L103" i="14"/>
  <c r="P103" i="14"/>
  <c r="F103" i="14"/>
  <c r="O103" i="14"/>
  <c r="E103" i="14"/>
  <c r="N103" i="14"/>
  <c r="D103" i="14"/>
  <c r="M103" i="14"/>
  <c r="K103" i="14"/>
  <c r="I103" i="14"/>
  <c r="Q394" i="14"/>
  <c r="G394" i="14"/>
  <c r="I394" i="14"/>
  <c r="P394" i="14"/>
  <c r="F394" i="14"/>
  <c r="O394" i="14"/>
  <c r="E394" i="14"/>
  <c r="M394" i="14"/>
  <c r="N394" i="14"/>
  <c r="D394" i="14"/>
  <c r="K394" i="14"/>
  <c r="L394" i="14"/>
  <c r="Q393" i="14"/>
  <c r="O398" i="14"/>
  <c r="O395" i="14"/>
  <c r="O393" i="14"/>
  <c r="K392" i="14"/>
  <c r="P400" i="14"/>
  <c r="F400" i="14"/>
  <c r="L399" i="14"/>
  <c r="P398" i="14"/>
  <c r="F398" i="14"/>
  <c r="L397" i="14"/>
  <c r="P395" i="14"/>
  <c r="F395" i="14"/>
  <c r="P393" i="14"/>
  <c r="F393" i="14"/>
  <c r="L392" i="14"/>
  <c r="O400" i="14"/>
  <c r="E400" i="14"/>
  <c r="K399" i="14"/>
  <c r="E398" i="14"/>
  <c r="K397" i="14"/>
  <c r="E395" i="14"/>
  <c r="E393" i="14"/>
  <c r="N400" i="14"/>
  <c r="D400" i="14"/>
  <c r="I399" i="14"/>
  <c r="N398" i="14"/>
  <c r="D398" i="14"/>
  <c r="I397" i="14"/>
  <c r="N395" i="14"/>
  <c r="D395" i="14"/>
  <c r="N393" i="14"/>
  <c r="D393" i="14"/>
  <c r="I392" i="14"/>
  <c r="M400" i="14"/>
  <c r="Q399" i="14"/>
  <c r="G399" i="14"/>
  <c r="M398" i="14"/>
  <c r="Q397" i="14"/>
  <c r="G397" i="14"/>
  <c r="M395" i="14"/>
  <c r="M393" i="14"/>
  <c r="Q392" i="14"/>
  <c r="G392" i="14"/>
  <c r="K400" i="14"/>
  <c r="O399" i="14"/>
  <c r="E399" i="14"/>
  <c r="K398" i="14"/>
  <c r="O397" i="14"/>
  <c r="E397" i="14"/>
  <c r="K395" i="14"/>
  <c r="K393" i="14"/>
  <c r="O392" i="14"/>
  <c r="E392" i="14"/>
  <c r="Q400" i="14"/>
  <c r="G400" i="14"/>
  <c r="M399" i="14"/>
  <c r="Q398" i="14"/>
  <c r="G398" i="14"/>
  <c r="M397" i="14"/>
  <c r="Q395" i="14"/>
  <c r="G395" i="14"/>
  <c r="G393" i="14"/>
  <c r="M392" i="14"/>
  <c r="L400" i="14"/>
  <c r="P399" i="14"/>
  <c r="F399" i="14"/>
  <c r="L398" i="14"/>
  <c r="P397" i="14"/>
  <c r="F397" i="14"/>
  <c r="L395" i="14"/>
  <c r="L393" i="14"/>
  <c r="P392" i="14"/>
  <c r="F392" i="14"/>
  <c r="I400" i="14"/>
  <c r="N399" i="14"/>
  <c r="D399" i="14"/>
  <c r="I398" i="14"/>
  <c r="N397" i="14"/>
  <c r="D397" i="14"/>
  <c r="I395" i="14"/>
  <c r="I393" i="14"/>
  <c r="N392" i="14"/>
  <c r="D392" i="14"/>
  <c r="Q371" i="14"/>
  <c r="G371" i="14"/>
  <c r="M370" i="14"/>
  <c r="T346" i="14"/>
  <c r="I346" i="14"/>
  <c r="O331" i="14"/>
  <c r="M325" i="14"/>
  <c r="P320" i="14"/>
  <c r="O319" i="14"/>
  <c r="J316" i="14"/>
  <c r="D315" i="14"/>
  <c r="D314" i="14"/>
  <c r="E301" i="14"/>
  <c r="E300" i="14"/>
  <c r="E293" i="14"/>
  <c r="N285" i="14"/>
  <c r="N284" i="14"/>
  <c r="M268" i="14"/>
  <c r="Q235" i="14"/>
  <c r="P232" i="14"/>
  <c r="M199" i="14"/>
  <c r="M198" i="14"/>
  <c r="M177" i="14"/>
  <c r="O145" i="14"/>
  <c r="O112" i="14"/>
  <c r="O101" i="14"/>
  <c r="K92" i="14"/>
  <c r="P371" i="14"/>
  <c r="F371" i="14"/>
  <c r="L370" i="14"/>
  <c r="Q346" i="14"/>
  <c r="G346" i="14"/>
  <c r="N331" i="14"/>
  <c r="L325" i="14"/>
  <c r="O320" i="14"/>
  <c r="N319" i="14"/>
  <c r="Q315" i="14"/>
  <c r="Q314" i="14"/>
  <c r="R306" i="14"/>
  <c r="D301" i="14"/>
  <c r="D300" i="14"/>
  <c r="D293" i="14"/>
  <c r="K285" i="14"/>
  <c r="K284" i="14"/>
  <c r="L268" i="14"/>
  <c r="P235" i="14"/>
  <c r="O232" i="14"/>
  <c r="L199" i="14"/>
  <c r="L198" i="14"/>
  <c r="I177" i="14"/>
  <c r="M145" i="14"/>
  <c r="N112" i="14"/>
  <c r="D112" i="14"/>
  <c r="N101" i="14"/>
  <c r="D101" i="14"/>
  <c r="O371" i="14"/>
  <c r="E371" i="14"/>
  <c r="K370" i="14"/>
  <c r="P346" i="14"/>
  <c r="F346" i="14"/>
  <c r="K331" i="14"/>
  <c r="I325" i="14"/>
  <c r="N320" i="14"/>
  <c r="K319" i="14"/>
  <c r="P315" i="14"/>
  <c r="P314" i="14"/>
  <c r="Q301" i="14"/>
  <c r="Q300" i="14"/>
  <c r="Q293" i="14"/>
  <c r="Q288" i="14"/>
  <c r="G285" i="14"/>
  <c r="G284" i="14"/>
  <c r="I268" i="14"/>
  <c r="O235" i="14"/>
  <c r="H232" i="14"/>
  <c r="I199" i="14"/>
  <c r="I198" i="14"/>
  <c r="E177" i="14"/>
  <c r="L145" i="14"/>
  <c r="M112" i="14"/>
  <c r="M101" i="14"/>
  <c r="Q92" i="14"/>
  <c r="G92" i="14"/>
  <c r="Q77" i="14"/>
  <c r="N371" i="14"/>
  <c r="D371" i="14"/>
  <c r="I370" i="14"/>
  <c r="O346" i="14"/>
  <c r="E346" i="14"/>
  <c r="G331" i="14"/>
  <c r="E325" i="14"/>
  <c r="K320" i="14"/>
  <c r="G319" i="14"/>
  <c r="O315" i="14"/>
  <c r="O314" i="14"/>
  <c r="P301" i="14"/>
  <c r="P300" i="14"/>
  <c r="P293" i="14"/>
  <c r="P288" i="14"/>
  <c r="F285" i="14"/>
  <c r="F284" i="14"/>
  <c r="E268" i="14"/>
  <c r="M235" i="14"/>
  <c r="E232" i="14"/>
  <c r="E199" i="14"/>
  <c r="E198" i="14"/>
  <c r="D177" i="14"/>
  <c r="I145" i="14"/>
  <c r="L112" i="14"/>
  <c r="L101" i="14"/>
  <c r="P92" i="14"/>
  <c r="F92" i="14"/>
  <c r="P77" i="14"/>
  <c r="R83" i="14"/>
  <c r="M371" i="14"/>
  <c r="Q370" i="14"/>
  <c r="G370" i="14"/>
  <c r="N346" i="14"/>
  <c r="D346" i="14"/>
  <c r="F331" i="14"/>
  <c r="D325" i="14"/>
  <c r="G320" i="14"/>
  <c r="F319" i="14"/>
  <c r="M315" i="14"/>
  <c r="M314" i="14"/>
  <c r="O301" i="14"/>
  <c r="O300" i="14"/>
  <c r="O293" i="14"/>
  <c r="O288" i="14"/>
  <c r="B285" i="14"/>
  <c r="B284" i="14"/>
  <c r="D268" i="14"/>
  <c r="I235" i="14"/>
  <c r="D232" i="14"/>
  <c r="D199" i="14"/>
  <c r="D198" i="14"/>
  <c r="E174" i="14"/>
  <c r="E145" i="14"/>
  <c r="K112" i="14"/>
  <c r="K101" i="14"/>
  <c r="O92" i="14"/>
  <c r="E92" i="14"/>
  <c r="O77" i="14"/>
  <c r="K371" i="14"/>
  <c r="O370" i="14"/>
  <c r="E370" i="14"/>
  <c r="L346" i="14"/>
  <c r="Q331" i="14"/>
  <c r="P325" i="14"/>
  <c r="D322" i="14"/>
  <c r="Q319" i="14"/>
  <c r="P316" i="14"/>
  <c r="I315" i="14"/>
  <c r="I314" i="14"/>
  <c r="L301" i="14"/>
  <c r="L300" i="14"/>
  <c r="L293" i="14"/>
  <c r="P285" i="14"/>
  <c r="P284" i="14"/>
  <c r="P268" i="14"/>
  <c r="P264" i="14"/>
  <c r="D235" i="14"/>
  <c r="P199" i="14"/>
  <c r="P198" i="14"/>
  <c r="P177" i="14"/>
  <c r="Q145" i="14"/>
  <c r="Q112" i="14"/>
  <c r="G112" i="14"/>
  <c r="Q101" i="14"/>
  <c r="M92" i="14"/>
  <c r="L371" i="14"/>
  <c r="P370" i="14"/>
  <c r="F370" i="14"/>
  <c r="M346" i="14"/>
  <c r="R332" i="14"/>
  <c r="Q325" i="14"/>
  <c r="E322" i="14"/>
  <c r="F320" i="14"/>
  <c r="Q316" i="14"/>
  <c r="L315" i="14"/>
  <c r="L314" i="14"/>
  <c r="M301" i="14"/>
  <c r="M300" i="14"/>
  <c r="M293" i="14"/>
  <c r="Q285" i="14"/>
  <c r="Q284" i="14"/>
  <c r="Q268" i="14"/>
  <c r="Q264" i="14"/>
  <c r="E235" i="14"/>
  <c r="Q199" i="14"/>
  <c r="Q198" i="14"/>
  <c r="Q177" i="14"/>
  <c r="D174" i="14"/>
  <c r="D145" i="14"/>
  <c r="I112" i="14"/>
  <c r="I101" i="14"/>
  <c r="N92" i="14"/>
  <c r="D92" i="14"/>
  <c r="G101" i="14"/>
  <c r="I371" i="14"/>
  <c r="N370" i="14"/>
  <c r="D370" i="14"/>
  <c r="K346" i="14"/>
  <c r="P331" i="14"/>
  <c r="O325" i="14"/>
  <c r="Q320" i="14"/>
  <c r="P319" i="14"/>
  <c r="O316" i="14"/>
  <c r="E315" i="14"/>
  <c r="E314" i="14"/>
  <c r="I301" i="14"/>
  <c r="I300" i="14"/>
  <c r="I293" i="14"/>
  <c r="O285" i="14"/>
  <c r="O284" i="14"/>
  <c r="O268" i="14"/>
  <c r="O264" i="14"/>
  <c r="Q232" i="14"/>
  <c r="O199" i="14"/>
  <c r="O198" i="14"/>
  <c r="O177" i="14"/>
  <c r="P145" i="14"/>
  <c r="P112" i="14"/>
  <c r="F112" i="14"/>
  <c r="P101" i="14"/>
  <c r="F101" i="14"/>
  <c r="L92" i="14"/>
  <c r="Q78" i="14"/>
  <c r="E112" i="14"/>
  <c r="E101" i="14"/>
  <c r="P78" i="14"/>
  <c r="I92" i="14"/>
  <c r="O78" i="14"/>
  <c r="P26" i="15"/>
  <c r="P31" i="15" s="1"/>
  <c r="U24" i="11" s="1"/>
  <c r="O6" i="15"/>
  <c r="D6" i="15"/>
  <c r="E6" i="15"/>
  <c r="Q26" i="15"/>
  <c r="Q31" i="15" s="1"/>
  <c r="J26" i="15"/>
  <c r="J31" i="15" s="1"/>
  <c r="L26" i="15"/>
  <c r="L31" i="15" s="1"/>
  <c r="K24" i="11" s="1"/>
  <c r="H26" i="15"/>
  <c r="W26" i="15"/>
  <c r="T26" i="15"/>
  <c r="S26" i="15"/>
  <c r="R26" i="15"/>
  <c r="R31" i="15" s="1"/>
  <c r="N26" i="15"/>
  <c r="N31" i="15" s="1"/>
  <c r="AE38" i="11" s="1"/>
  <c r="I26" i="15"/>
  <c r="G26" i="15"/>
  <c r="U26" i="15"/>
  <c r="F26" i="15"/>
  <c r="F31" i="15" s="1"/>
  <c r="K26" i="15"/>
  <c r="K31" i="15" s="1"/>
  <c r="AE36" i="11" s="1"/>
  <c r="AC36" i="11" s="1"/>
  <c r="V26" i="15"/>
  <c r="S16" i="15"/>
  <c r="R16" i="15"/>
  <c r="R21" i="15" s="1"/>
  <c r="P16" i="15"/>
  <c r="L16" i="15"/>
  <c r="L21" i="15" s="1"/>
  <c r="K21" i="11" s="1"/>
  <c r="H16" i="15"/>
  <c r="J16" i="15"/>
  <c r="W16" i="15"/>
  <c r="T16" i="15"/>
  <c r="N16" i="15"/>
  <c r="O16" i="15"/>
  <c r="F16" i="15"/>
  <c r="U16" i="15"/>
  <c r="Q16" i="15"/>
  <c r="I16" i="15"/>
  <c r="K16" i="15"/>
  <c r="G16" i="15"/>
  <c r="V16" i="15"/>
  <c r="S36" i="15"/>
  <c r="R36" i="15"/>
  <c r="R41" i="15" s="1"/>
  <c r="P36" i="15"/>
  <c r="L36" i="15"/>
  <c r="L41" i="15" s="1"/>
  <c r="W36" i="15"/>
  <c r="J36" i="15"/>
  <c r="J41" i="15" s="1"/>
  <c r="V36" i="15"/>
  <c r="H36" i="15"/>
  <c r="U36" i="15"/>
  <c r="T36" i="15"/>
  <c r="E36" i="15"/>
  <c r="N36" i="15"/>
  <c r="N41" i="15" s="1"/>
  <c r="K36" i="15"/>
  <c r="K41" i="15" s="1"/>
  <c r="AE44" i="11" s="1"/>
  <c r="AC44" i="11" s="1"/>
  <c r="F36" i="15"/>
  <c r="F41" i="15" s="1"/>
  <c r="G36" i="15"/>
  <c r="O36" i="15"/>
  <c r="I36" i="15"/>
  <c r="Q36" i="15"/>
  <c r="W6" i="15"/>
  <c r="T6" i="15"/>
  <c r="S6" i="15"/>
  <c r="R6" i="15"/>
  <c r="L6" i="15"/>
  <c r="L11" i="15" s="1"/>
  <c r="K18" i="11" s="1"/>
  <c r="J6" i="15"/>
  <c r="H6" i="15"/>
  <c r="U6" i="15"/>
  <c r="V6" i="15"/>
  <c r="Q6" i="15"/>
  <c r="M6" i="15"/>
  <c r="I6" i="15"/>
  <c r="P6" i="15"/>
  <c r="O26" i="15" l="1"/>
  <c r="O31" i="15" s="1"/>
  <c r="AE39" i="11" s="1"/>
  <c r="AC39" i="11" s="1"/>
  <c r="M26" i="15"/>
  <c r="D26" i="15"/>
  <c r="D31" i="15" s="1"/>
  <c r="X31" i="15" s="1"/>
  <c r="E26" i="15"/>
  <c r="D24" i="11"/>
  <c r="AA31" i="15"/>
  <c r="W31" i="15"/>
  <c r="V31" i="15"/>
  <c r="AB31" i="15"/>
  <c r="Y31" i="15"/>
  <c r="M16" i="15"/>
  <c r="E16" i="15"/>
  <c r="G6" i="15" s="1"/>
  <c r="D16" i="15"/>
  <c r="N6" i="15" s="1"/>
  <c r="W21" i="15"/>
  <c r="D21" i="11"/>
  <c r="AB21" i="15"/>
  <c r="D36" i="15"/>
  <c r="M36" i="15"/>
  <c r="D27" i="11"/>
  <c r="AB41" i="15"/>
  <c r="AA41" i="15"/>
  <c r="W41" i="15"/>
  <c r="W44" i="15" s="1"/>
  <c r="U41" i="15"/>
  <c r="V41" i="15"/>
  <c r="AE46" i="11"/>
  <c r="AC46" i="11" s="1"/>
  <c r="P28" i="11" s="1"/>
  <c r="L44" i="15"/>
  <c r="K27" i="11"/>
  <c r="H44" i="15"/>
  <c r="H31" i="15"/>
  <c r="H11" i="15"/>
  <c r="H41" i="15"/>
  <c r="H21" i="15"/>
  <c r="U11" i="15"/>
  <c r="AB11" i="15"/>
  <c r="W11" i="15"/>
  <c r="D18" i="11"/>
  <c r="Z31" i="15"/>
  <c r="A12" i="14"/>
  <c r="Q442" i="14" l="1"/>
  <c r="N442" i="14"/>
  <c r="K442" i="14"/>
  <c r="F442" i="14"/>
  <c r="G442" i="14"/>
  <c r="AE40" i="11"/>
  <c r="K6" i="15"/>
  <c r="F6" i="15"/>
  <c r="S24" i="11"/>
  <c r="Q24" i="11"/>
  <c r="N28" i="11"/>
  <c r="A13" i="14"/>
  <c r="A2" i="14"/>
  <c r="A3" i="14" s="1"/>
  <c r="A5" i="14"/>
  <c r="Q41" i="15" l="1"/>
  <c r="Y41" i="15" s="1"/>
  <c r="D41" i="15"/>
  <c r="P41" i="15"/>
  <c r="U27" i="11" s="1"/>
  <c r="O41" i="15"/>
  <c r="M41" i="15"/>
  <c r="R3" i="15"/>
  <c r="L3" i="15"/>
  <c r="A6" i="14"/>
  <c r="A7" i="14"/>
  <c r="E7" i="15"/>
  <c r="D7" i="15"/>
  <c r="P21" i="15"/>
  <c r="U21" i="11" s="1"/>
  <c r="K21" i="15"/>
  <c r="H7" i="15"/>
  <c r="N21" i="15"/>
  <c r="O21" i="15"/>
  <c r="X41" i="15" l="1"/>
  <c r="AE29" i="11"/>
  <c r="AC29" i="11" s="1"/>
  <c r="Q21" i="11" s="1"/>
  <c r="C15" i="11"/>
  <c r="J8" i="15"/>
  <c r="J11" i="15" s="1"/>
  <c r="J21" i="15"/>
  <c r="AE47" i="11"/>
  <c r="AC47" i="11" s="1"/>
  <c r="S27" i="11" s="1"/>
  <c r="AE45" i="11"/>
  <c r="AC45" i="11" s="1"/>
  <c r="N27" i="11" s="1"/>
  <c r="F21" i="15"/>
  <c r="U31" i="15" s="1"/>
  <c r="Q21" i="15"/>
  <c r="Y21" i="15" s="1"/>
  <c r="AA21" i="15"/>
  <c r="R11" i="15"/>
  <c r="AA11" i="15"/>
  <c r="O7" i="15"/>
  <c r="Q7" i="15"/>
  <c r="P7" i="15"/>
  <c r="AE28" i="11"/>
  <c r="AE25" i="11"/>
  <c r="I41" i="15"/>
  <c r="AE43" i="11" s="1"/>
  <c r="AC43" i="11" s="1"/>
  <c r="AE8" i="11"/>
  <c r="AC8" i="11" s="1"/>
  <c r="R36" i="11"/>
  <c r="AE9" i="11"/>
  <c r="AC9" i="11" s="1"/>
  <c r="AE10" i="11"/>
  <c r="AC10" i="11" s="1"/>
  <c r="U36" i="11"/>
  <c r="U35" i="11"/>
  <c r="B3" i="15"/>
  <c r="R35" i="11"/>
  <c r="I31" i="15"/>
  <c r="AE35" i="11" s="1"/>
  <c r="AC35" i="11" s="1"/>
  <c r="AE11" i="11"/>
  <c r="AC11" i="11" s="1"/>
  <c r="AE7" i="11"/>
  <c r="AC7" i="11" s="1"/>
  <c r="M31" i="15"/>
  <c r="P27" i="11" l="1"/>
  <c r="Q27" i="11"/>
  <c r="S21" i="11"/>
  <c r="J44" i="15"/>
  <c r="L15" i="11" s="1"/>
  <c r="E31" i="11" s="1"/>
  <c r="O11" i="15"/>
  <c r="R44" i="15"/>
  <c r="R47" i="15" s="1"/>
  <c r="AA47" i="15"/>
  <c r="AA44" i="15"/>
  <c r="P11" i="15"/>
  <c r="U18" i="11" s="1"/>
  <c r="Q11" i="15"/>
  <c r="Q44" i="15" s="1"/>
  <c r="Q47" i="15" s="1"/>
  <c r="AE37" i="11"/>
  <c r="AC37" i="11" s="1"/>
  <c r="N24" i="11" s="1"/>
  <c r="I21" i="15"/>
  <c r="AE23" i="11" s="1"/>
  <c r="AC23" i="11" s="1"/>
  <c r="AC38" i="11"/>
  <c r="O44" i="15" l="1"/>
  <c r="O47" i="15" s="1"/>
  <c r="P24" i="11"/>
  <c r="Y11" i="15"/>
  <c r="P44" i="15"/>
  <c r="P47" i="15" s="1"/>
  <c r="S47" i="15" s="1"/>
  <c r="U31" i="11" s="1"/>
  <c r="V31" i="11" s="1"/>
  <c r="AE18" i="11"/>
  <c r="AC18" i="11" s="1"/>
  <c r="Q18" i="11" s="1"/>
  <c r="M44" i="15"/>
  <c r="M47" i="15"/>
  <c r="I44" i="15"/>
  <c r="I47" i="15"/>
  <c r="I11" i="15"/>
  <c r="AE13" i="11" s="1"/>
  <c r="AC13" i="11" s="1"/>
  <c r="M11" i="15"/>
  <c r="AE15" i="11" s="1"/>
  <c r="AC15" i="11" s="1"/>
  <c r="P18" i="11" s="1"/>
  <c r="N25" i="11"/>
  <c r="P25" i="11"/>
  <c r="P29" i="11"/>
  <c r="Q50" i="15"/>
  <c r="AC28" i="11"/>
  <c r="AC25" i="11"/>
  <c r="D11" i="15" l="1"/>
  <c r="Z41" i="15" s="1"/>
  <c r="AE52" i="11"/>
  <c r="AC52" i="11" s="1"/>
  <c r="T31" i="11" s="1"/>
  <c r="S18" i="11"/>
  <c r="P49" i="15"/>
  <c r="X56" i="11" s="1"/>
  <c r="D44" i="15"/>
  <c r="D47" i="15"/>
  <c r="AE51" i="11"/>
  <c r="AC51" i="11" s="1"/>
  <c r="J15" i="11" s="1"/>
  <c r="N18" i="11"/>
  <c r="P22" i="11"/>
  <c r="N22" i="11"/>
  <c r="Q49" i="15" l="1"/>
  <c r="Q31" i="11"/>
  <c r="G15" i="11"/>
  <c r="G11" i="11" l="1"/>
  <c r="AB44" i="15"/>
  <c r="U37" i="11"/>
  <c r="R37" i="11"/>
  <c r="V11" i="15" l="1"/>
  <c r="M21" i="15" l="1"/>
  <c r="K11" i="15" l="1"/>
  <c r="F11" i="15"/>
  <c r="Z11" i="15" s="1"/>
  <c r="N11" i="15"/>
  <c r="D21" i="15"/>
  <c r="X21" i="15" s="1"/>
  <c r="V21" i="15"/>
  <c r="Z21" i="15"/>
  <c r="AE27" i="11"/>
  <c r="AC27" i="11" s="1"/>
  <c r="P21" i="11" s="1"/>
  <c r="U21" i="15" l="1"/>
  <c r="Z47" i="15"/>
  <c r="F47" i="15"/>
  <c r="S11" i="11" s="1"/>
  <c r="F44" i="15"/>
  <c r="AE14" i="11"/>
  <c r="AC14" i="11" s="1"/>
  <c r="K47" i="15"/>
  <c r="AE53" i="11" s="1"/>
  <c r="AC53" i="11" s="1"/>
  <c r="K44" i="15"/>
  <c r="AE16" i="11"/>
  <c r="AC16" i="11" s="1"/>
  <c r="N47" i="15"/>
  <c r="N44" i="15"/>
  <c r="X11" i="15"/>
  <c r="F45" i="15"/>
  <c r="N21" i="11"/>
  <c r="P15" i="11" l="1"/>
  <c r="S13" i="11"/>
  <c r="X44" i="15"/>
  <c r="G65" i="14"/>
  <c r="G13" i="11"/>
  <c r="R15" i="11"/>
  <c r="P19" i="11"/>
  <c r="N19" i="11"/>
  <c r="Z44" i="15"/>
  <c r="Y44" i="15" s="1"/>
  <c r="R53" i="15" s="1"/>
  <c r="R52" i="15" l="1"/>
  <c r="R42" i="11" s="1"/>
  <c r="Y47" i="15"/>
  <c r="R43" i="11"/>
  <c r="X47" i="15"/>
  <c r="AE47" i="15"/>
  <c r="H65" i="14"/>
  <c r="H66" i="14"/>
  <c r="AD47" i="15"/>
  <c r="M31" i="11" l="1"/>
  <c r="X48" i="15"/>
  <c r="AF52" i="15"/>
  <c r="Y48" i="15"/>
  <c r="AC47" i="15" s="1"/>
  <c r="AF47" i="15"/>
  <c r="L39" i="11" l="1"/>
  <c r="H39" i="11"/>
  <c r="L35" i="11"/>
  <c r="H35" i="11"/>
</calcChain>
</file>

<file path=xl/sharedStrings.xml><?xml version="1.0" encoding="utf-8"?>
<sst xmlns="http://schemas.openxmlformats.org/spreadsheetml/2006/main" count="2266" uniqueCount="699">
  <si>
    <t>社員番号</t>
    <rPh sb="0" eb="2">
      <t>シャイン</t>
    </rPh>
    <rPh sb="2" eb="4">
      <t>バンゴウ</t>
    </rPh>
    <phoneticPr fontId="1"/>
  </si>
  <si>
    <t>氏　名</t>
    <rPh sb="0" eb="1">
      <t>シ</t>
    </rPh>
    <rPh sb="2" eb="3">
      <t>ナ</t>
    </rPh>
    <phoneticPr fontId="1"/>
  </si>
  <si>
    <t>退勤時分</t>
    <rPh sb="0" eb="2">
      <t>タイキン</t>
    </rPh>
    <rPh sb="2" eb="4">
      <t>ジフン</t>
    </rPh>
    <phoneticPr fontId="1"/>
  </si>
  <si>
    <t>日曜日</t>
  </si>
  <si>
    <t>日曜日</t>
    <phoneticPr fontId="1"/>
  </si>
  <si>
    <t>月曜日</t>
  </si>
  <si>
    <t>火曜日</t>
  </si>
  <si>
    <t>水曜日</t>
  </si>
  <si>
    <t>木曜日</t>
  </si>
  <si>
    <t>金曜日</t>
  </si>
  <si>
    <t>土曜日</t>
  </si>
  <si>
    <t>社員番号</t>
    <rPh sb="0" eb="2">
      <t>シャイン</t>
    </rPh>
    <rPh sb="2" eb="4">
      <t>バンゴウ</t>
    </rPh>
    <phoneticPr fontId="1"/>
  </si>
  <si>
    <t>日付</t>
    <rPh sb="0" eb="2">
      <t>ヒヅケ</t>
    </rPh>
    <phoneticPr fontId="1"/>
  </si>
  <si>
    <t>日</t>
  </si>
  <si>
    <t>元日</t>
  </si>
  <si>
    <t>月</t>
  </si>
  <si>
    <t>木</t>
  </si>
  <si>
    <t>火</t>
  </si>
  <si>
    <t>春分の日</t>
  </si>
  <si>
    <t>昭和の日</t>
  </si>
  <si>
    <t>水</t>
  </si>
  <si>
    <t>憲法記念日</t>
  </si>
  <si>
    <t>みどりの日</t>
  </si>
  <si>
    <t>金</t>
  </si>
  <si>
    <t>こどもの日</t>
  </si>
  <si>
    <t>秋分の日</t>
  </si>
  <si>
    <t>勤労感謝の</t>
  </si>
  <si>
    <t>振替休日</t>
  </si>
  <si>
    <t>所定時分</t>
    <rPh sb="0" eb="2">
      <t>ショテイ</t>
    </rPh>
    <rPh sb="2" eb="4">
      <t>ジフン</t>
    </rPh>
    <phoneticPr fontId="1"/>
  </si>
  <si>
    <t>出勤時分</t>
    <rPh sb="0" eb="2">
      <t>シュッキン</t>
    </rPh>
    <rPh sb="2" eb="4">
      <t>ジブン</t>
    </rPh>
    <phoneticPr fontId="1"/>
  </si>
  <si>
    <t>系統</t>
    <rPh sb="0" eb="2">
      <t>ケイトウ</t>
    </rPh>
    <phoneticPr fontId="1"/>
  </si>
  <si>
    <t>退勤時分</t>
    <rPh sb="0" eb="2">
      <t>タイキン</t>
    </rPh>
    <rPh sb="2" eb="4">
      <t>ジフン</t>
    </rPh>
    <phoneticPr fontId="1"/>
  </si>
  <si>
    <t>開始地</t>
    <rPh sb="0" eb="2">
      <t>カイシ</t>
    </rPh>
    <rPh sb="2" eb="3">
      <t>チ</t>
    </rPh>
    <phoneticPr fontId="1"/>
  </si>
  <si>
    <t>終了地</t>
    <rPh sb="0" eb="2">
      <t>シュウリョウ</t>
    </rPh>
    <rPh sb="2" eb="3">
      <t>チ</t>
    </rPh>
    <phoneticPr fontId="1"/>
  </si>
  <si>
    <t>開始時間</t>
    <rPh sb="0" eb="2">
      <t>カイシ</t>
    </rPh>
    <rPh sb="2" eb="4">
      <t>ジカン</t>
    </rPh>
    <phoneticPr fontId="1"/>
  </si>
  <si>
    <t>終了時間</t>
    <rPh sb="0" eb="2">
      <t>シュウリョウ</t>
    </rPh>
    <rPh sb="2" eb="4">
      <t>ジカン</t>
    </rPh>
    <phoneticPr fontId="1"/>
  </si>
  <si>
    <t>車両1</t>
    <rPh sb="0" eb="2">
      <t>シャリョウ</t>
    </rPh>
    <phoneticPr fontId="1"/>
  </si>
  <si>
    <t>本    社</t>
    <rPh sb="0" eb="1">
      <t>ホン</t>
    </rPh>
    <rPh sb="5" eb="6">
      <t>シャ</t>
    </rPh>
    <phoneticPr fontId="1"/>
  </si>
  <si>
    <t>発車時間</t>
    <rPh sb="0" eb="2">
      <t>ハッシャ</t>
    </rPh>
    <rPh sb="2" eb="4">
      <t>ジカン</t>
    </rPh>
    <phoneticPr fontId="1"/>
  </si>
  <si>
    <t>到着時間</t>
    <rPh sb="0" eb="2">
      <t>トウチャク</t>
    </rPh>
    <rPh sb="2" eb="4">
      <t>ジカン</t>
    </rPh>
    <phoneticPr fontId="1"/>
  </si>
  <si>
    <t>ハンドル</t>
    <phoneticPr fontId="1"/>
  </si>
  <si>
    <t>距離</t>
    <rPh sb="0" eb="2">
      <t>キョリ</t>
    </rPh>
    <phoneticPr fontId="1"/>
  </si>
  <si>
    <t>中休開始</t>
    <rPh sb="0" eb="1">
      <t>ナカ</t>
    </rPh>
    <rPh sb="1" eb="2">
      <t>キュウ</t>
    </rPh>
    <rPh sb="2" eb="4">
      <t>カイシ</t>
    </rPh>
    <phoneticPr fontId="1"/>
  </si>
  <si>
    <t>中休終了</t>
    <rPh sb="0" eb="1">
      <t>ナカ</t>
    </rPh>
    <rPh sb="1" eb="2">
      <t>キュウ</t>
    </rPh>
    <rPh sb="2" eb="4">
      <t>シュウリョウ</t>
    </rPh>
    <phoneticPr fontId="1"/>
  </si>
  <si>
    <t>別待機始</t>
    <rPh sb="0" eb="1">
      <t>ベツ</t>
    </rPh>
    <rPh sb="1" eb="3">
      <t>タイキ</t>
    </rPh>
    <rPh sb="3" eb="4">
      <t>ハジ</t>
    </rPh>
    <phoneticPr fontId="1"/>
  </si>
  <si>
    <t>別待機終</t>
    <rPh sb="0" eb="1">
      <t>ベツ</t>
    </rPh>
    <rPh sb="1" eb="3">
      <t>タイキ</t>
    </rPh>
    <rPh sb="3" eb="4">
      <t>オ</t>
    </rPh>
    <phoneticPr fontId="1"/>
  </si>
  <si>
    <t>代務リスト(平日)</t>
    <rPh sb="0" eb="2">
      <t>ダイム</t>
    </rPh>
    <phoneticPr fontId="1"/>
  </si>
  <si>
    <t>時間</t>
    <rPh sb="0" eb="2">
      <t>ジカン</t>
    </rPh>
    <phoneticPr fontId="1"/>
  </si>
  <si>
    <t>代務 １</t>
    <rPh sb="0" eb="1">
      <t>ダイム</t>
    </rPh>
    <phoneticPr fontId="1"/>
  </si>
  <si>
    <t xml:space="preserve">   －〃－</t>
    <phoneticPr fontId="1"/>
  </si>
  <si>
    <t>代務 ２</t>
    <rPh sb="0" eb="1">
      <t>ダイム</t>
    </rPh>
    <phoneticPr fontId="1"/>
  </si>
  <si>
    <t>実働時間</t>
    <rPh sb="0" eb="2">
      <t>ジツドウ</t>
    </rPh>
    <rPh sb="2" eb="4">
      <t>ジカン</t>
    </rPh>
    <phoneticPr fontId="1"/>
  </si>
  <si>
    <t>北    浜</t>
    <rPh sb="0" eb="1">
      <t>キタ</t>
    </rPh>
    <rPh sb="5" eb="6">
      <t>ハマ</t>
    </rPh>
    <phoneticPr fontId="1"/>
  </si>
  <si>
    <t>岩    崎</t>
    <rPh sb="0" eb="1">
      <t>イワ</t>
    </rPh>
    <rPh sb="5" eb="6">
      <t>サキ</t>
    </rPh>
    <phoneticPr fontId="1"/>
  </si>
  <si>
    <t>代務開始が北浜～駅</t>
    <rPh sb="0" eb="2">
      <t>ダイム</t>
    </rPh>
    <rPh sb="2" eb="4">
      <t>カイシ</t>
    </rPh>
    <rPh sb="5" eb="7">
      <t>キタハマ</t>
    </rPh>
    <rPh sb="8" eb="9">
      <t>エキ</t>
    </rPh>
    <phoneticPr fontId="1"/>
  </si>
  <si>
    <t>代務終了が駅～北浜</t>
    <rPh sb="0" eb="2">
      <t>ダイム</t>
    </rPh>
    <rPh sb="2" eb="4">
      <t>シュウリョウ</t>
    </rPh>
    <rPh sb="5" eb="6">
      <t>エキ</t>
    </rPh>
    <rPh sb="7" eb="9">
      <t>キタハマ</t>
    </rPh>
    <phoneticPr fontId="1"/>
  </si>
  <si>
    <t>YES</t>
    <phoneticPr fontId="1"/>
  </si>
  <si>
    <t>NO</t>
  </si>
  <si>
    <t>NO</t>
    <phoneticPr fontId="1"/>
  </si>
  <si>
    <t>塩    江</t>
    <rPh sb="0" eb="1">
      <t>シオ</t>
    </rPh>
    <rPh sb="5" eb="6">
      <t>エ</t>
    </rPh>
    <phoneticPr fontId="1"/>
  </si>
  <si>
    <t>1066</t>
    <phoneticPr fontId="1"/>
  </si>
  <si>
    <t>1077</t>
    <phoneticPr fontId="1"/>
  </si>
  <si>
    <t>1588</t>
    <phoneticPr fontId="1"/>
  </si>
  <si>
    <t>1007</t>
    <phoneticPr fontId="1"/>
  </si>
  <si>
    <t>1073</t>
    <phoneticPr fontId="1"/>
  </si>
  <si>
    <t>1020</t>
    <phoneticPr fontId="1"/>
  </si>
  <si>
    <t>1022</t>
    <phoneticPr fontId="1"/>
  </si>
  <si>
    <t>1067</t>
    <phoneticPr fontId="1"/>
  </si>
  <si>
    <t>15</t>
  </si>
  <si>
    <t>3</t>
    <phoneticPr fontId="1"/>
  </si>
  <si>
    <t>4</t>
  </si>
  <si>
    <t>5</t>
  </si>
  <si>
    <t>6</t>
  </si>
  <si>
    <t>7</t>
  </si>
  <si>
    <t>8</t>
  </si>
  <si>
    <t>9</t>
  </si>
  <si>
    <t>10</t>
  </si>
  <si>
    <t>11</t>
  </si>
  <si>
    <t>12</t>
  </si>
  <si>
    <t>13</t>
  </si>
  <si>
    <t>14</t>
  </si>
  <si>
    <t>16</t>
  </si>
  <si>
    <t>17</t>
  </si>
  <si>
    <t>18</t>
  </si>
  <si>
    <t>19</t>
  </si>
  <si>
    <t>20</t>
  </si>
  <si>
    <t>21</t>
  </si>
  <si>
    <t>22</t>
  </si>
  <si>
    <t>23</t>
  </si>
  <si>
    <t>代務３</t>
    <rPh sb="0" eb="1">
      <t>ダイム</t>
    </rPh>
    <phoneticPr fontId="1"/>
  </si>
  <si>
    <t>代務１</t>
    <rPh sb="0" eb="2">
      <t>ダイム</t>
    </rPh>
    <phoneticPr fontId="1"/>
  </si>
  <si>
    <t>代務２</t>
    <rPh sb="0" eb="2">
      <t>ダイム</t>
    </rPh>
    <phoneticPr fontId="1"/>
  </si>
  <si>
    <t>本勤務</t>
    <rPh sb="0" eb="1">
      <t>ホン</t>
    </rPh>
    <rPh sb="1" eb="3">
      <t>キンム</t>
    </rPh>
    <phoneticPr fontId="1"/>
  </si>
  <si>
    <t>←最小値</t>
    <rPh sb="1" eb="4">
      <t>サイショウチ</t>
    </rPh>
    <phoneticPr fontId="1"/>
  </si>
  <si>
    <t>←最大値</t>
    <rPh sb="1" eb="4">
      <t>サイダイチ</t>
    </rPh>
    <phoneticPr fontId="1"/>
  </si>
  <si>
    <t>↑最小値</t>
    <rPh sb="1" eb="4">
      <t>サイショウチ</t>
    </rPh>
    <phoneticPr fontId="1"/>
  </si>
  <si>
    <t>↑最大値</t>
    <rPh sb="1" eb="3">
      <t>サイダイ</t>
    </rPh>
    <rPh sb="3" eb="4">
      <t>チ</t>
    </rPh>
    <phoneticPr fontId="1"/>
  </si>
  <si>
    <t>乗務開始</t>
    <rPh sb="0" eb="2">
      <t>ジョウム</t>
    </rPh>
    <rPh sb="2" eb="4">
      <t>カイシ</t>
    </rPh>
    <phoneticPr fontId="1"/>
  </si>
  <si>
    <t>乗務終了</t>
    <rPh sb="0" eb="2">
      <t>ジョウム</t>
    </rPh>
    <rPh sb="2" eb="4">
      <t>シュウリョウ</t>
    </rPh>
    <phoneticPr fontId="1"/>
  </si>
  <si>
    <t>発車時間</t>
    <rPh sb="0" eb="2">
      <t>ハッシャ</t>
    </rPh>
    <rPh sb="2" eb="4">
      <t>ジカン</t>
    </rPh>
    <phoneticPr fontId="1"/>
  </si>
  <si>
    <t>到着時間</t>
    <rPh sb="0" eb="2">
      <t>トウチャク</t>
    </rPh>
    <rPh sb="2" eb="4">
      <t>ジカン</t>
    </rPh>
    <phoneticPr fontId="1"/>
  </si>
  <si>
    <t>ハンドル</t>
    <phoneticPr fontId="1"/>
  </si>
  <si>
    <t>代務３</t>
    <rPh sb="0" eb="2">
      <t>ダイム</t>
    </rPh>
    <phoneticPr fontId="1"/>
  </si>
  <si>
    <t>代務４</t>
    <rPh sb="0" eb="2">
      <t>ダイム</t>
    </rPh>
    <phoneticPr fontId="1"/>
  </si>
  <si>
    <t>代務４</t>
    <rPh sb="0" eb="1">
      <t>ダイム</t>
    </rPh>
    <phoneticPr fontId="1"/>
  </si>
  <si>
    <t>点検した？</t>
    <rPh sb="0" eb="2">
      <t>テンケン</t>
    </rPh>
    <phoneticPr fontId="1"/>
  </si>
  <si>
    <t>K</t>
    <phoneticPr fontId="1"/>
  </si>
  <si>
    <t>1005</t>
    <phoneticPr fontId="1"/>
  </si>
  <si>
    <t>1030</t>
    <phoneticPr fontId="1"/>
  </si>
  <si>
    <t>464</t>
    <phoneticPr fontId="1"/>
  </si>
  <si>
    <t>406</t>
    <phoneticPr fontId="1"/>
  </si>
  <si>
    <t>429</t>
    <phoneticPr fontId="1"/>
  </si>
  <si>
    <t>1053</t>
    <phoneticPr fontId="1"/>
  </si>
  <si>
    <t>439</t>
    <phoneticPr fontId="1"/>
  </si>
  <si>
    <t>1057</t>
    <phoneticPr fontId="1"/>
  </si>
  <si>
    <t>本　日</t>
    <rPh sb="0" eb="1">
      <t>ホン</t>
    </rPh>
    <rPh sb="2" eb="3">
      <t>ヒ</t>
    </rPh>
    <phoneticPr fontId="1"/>
  </si>
  <si>
    <t>明　日</t>
    <rPh sb="0" eb="1">
      <t>アキラ</t>
    </rPh>
    <rPh sb="2" eb="3">
      <t>ヒ</t>
    </rPh>
    <phoneticPr fontId="1"/>
  </si>
  <si>
    <t>代務集計</t>
    <rPh sb="0" eb="2">
      <t>ダイム</t>
    </rPh>
    <rPh sb="2" eb="4">
      <t>シュウケイ</t>
    </rPh>
    <phoneticPr fontId="1"/>
  </si>
  <si>
    <t>本勤合算</t>
    <rPh sb="0" eb="1">
      <t>ホン</t>
    </rPh>
    <rPh sb="1" eb="2">
      <t>ツトム</t>
    </rPh>
    <rPh sb="2" eb="4">
      <t>ガッサン</t>
    </rPh>
    <phoneticPr fontId="1"/>
  </si>
  <si>
    <t>1065</t>
    <phoneticPr fontId="1"/>
  </si>
  <si>
    <t>明後日</t>
    <rPh sb="0" eb="3">
      <t>アサッテ</t>
    </rPh>
    <phoneticPr fontId="1"/>
  </si>
  <si>
    <t>半角文字</t>
    <rPh sb="0" eb="2">
      <t>ハンカク</t>
    </rPh>
    <rPh sb="2" eb="4">
      <t>モジ</t>
    </rPh>
    <phoneticPr fontId="1"/>
  </si>
  <si>
    <t>0:00</t>
    <phoneticPr fontId="1"/>
  </si>
  <si>
    <t>0.0</t>
    <phoneticPr fontId="1"/>
  </si>
  <si>
    <t>予備実働</t>
    <rPh sb="0" eb="2">
      <t>ヨビ</t>
    </rPh>
    <rPh sb="2" eb="4">
      <t>ジツドウ</t>
    </rPh>
    <phoneticPr fontId="1"/>
  </si>
  <si>
    <t>Y1</t>
    <phoneticPr fontId="1"/>
  </si>
  <si>
    <t>Y2</t>
    <phoneticPr fontId="1"/>
  </si>
  <si>
    <t>Y4</t>
    <phoneticPr fontId="1"/>
  </si>
  <si>
    <t>Y5</t>
    <phoneticPr fontId="1"/>
  </si>
  <si>
    <t>予備１休</t>
    <rPh sb="0" eb="2">
      <t>ヨビ</t>
    </rPh>
    <rPh sb="3" eb="4">
      <t>キュウ</t>
    </rPh>
    <phoneticPr fontId="1"/>
  </si>
  <si>
    <t>予備２休</t>
    <rPh sb="0" eb="2">
      <t>ヨビ</t>
    </rPh>
    <rPh sb="3" eb="4">
      <t>キュウ</t>
    </rPh>
    <phoneticPr fontId="1"/>
  </si>
  <si>
    <t>予備４休</t>
    <rPh sb="0" eb="2">
      <t>ヨビ</t>
    </rPh>
    <rPh sb="3" eb="4">
      <t>キュウ</t>
    </rPh>
    <phoneticPr fontId="1"/>
  </si>
  <si>
    <t>予備５休</t>
    <rPh sb="0" eb="2">
      <t>ヨビ</t>
    </rPh>
    <rPh sb="3" eb="4">
      <t>キュウ</t>
    </rPh>
    <phoneticPr fontId="1"/>
  </si>
  <si>
    <t>1070</t>
    <phoneticPr fontId="1"/>
  </si>
  <si>
    <t>(K)＊100</t>
    <phoneticPr fontId="1"/>
  </si>
  <si>
    <t>(K)＊60</t>
    <phoneticPr fontId="1"/>
  </si>
  <si>
    <t>点検有り</t>
    <rPh sb="0" eb="2">
      <t>テンケン</t>
    </rPh>
    <rPh sb="2" eb="3">
      <t>ア</t>
    </rPh>
    <phoneticPr fontId="1"/>
  </si>
  <si>
    <t>点検無し</t>
    <rPh sb="0" eb="2">
      <t>テンケン</t>
    </rPh>
    <rPh sb="2" eb="3">
      <t>ナ</t>
    </rPh>
    <phoneticPr fontId="1"/>
  </si>
  <si>
    <t>↑　　判定　　↑</t>
    <rPh sb="3" eb="5">
      <t>ハンテイ</t>
    </rPh>
    <phoneticPr fontId="1"/>
  </si>
  <si>
    <t>↑</t>
    <phoneticPr fontId="1"/>
  </si>
  <si>
    <t>別実働</t>
    <rPh sb="0" eb="1">
      <t>ベツ</t>
    </rPh>
    <rPh sb="1" eb="3">
      <t>ジツドウ</t>
    </rPh>
    <phoneticPr fontId="1"/>
  </si>
  <si>
    <t>やしまーる休館</t>
    <rPh sb="5" eb="7">
      <t>キュウカン</t>
    </rPh>
    <phoneticPr fontId="1"/>
  </si>
  <si>
    <t xml:space="preserve">      の国民の祝日・休日</t>
    <phoneticPr fontId="1"/>
  </si>
  <si>
    <t>深夜判定</t>
    <rPh sb="0" eb="2">
      <t>シンヤ</t>
    </rPh>
    <rPh sb="2" eb="4">
      <t>ハンテイ</t>
    </rPh>
    <phoneticPr fontId="1"/>
  </si>
  <si>
    <t>半角挿入？→</t>
    <rPh sb="0" eb="2">
      <t>ハンカク</t>
    </rPh>
    <rPh sb="2" eb="4">
      <t>ソウニュウ</t>
    </rPh>
    <phoneticPr fontId="1"/>
  </si>
  <si>
    <t>B B2 →</t>
    <phoneticPr fontId="1"/>
  </si>
  <si>
    <t>別待機</t>
    <rPh sb="0" eb="1">
      <t>ベツ</t>
    </rPh>
    <rPh sb="1" eb="3">
      <t>タイキ</t>
    </rPh>
    <phoneticPr fontId="1"/>
  </si>
  <si>
    <t>全実働計</t>
    <rPh sb="0" eb="1">
      <t>ゼン</t>
    </rPh>
    <rPh sb="1" eb="3">
      <t>ジツドウ</t>
    </rPh>
    <rPh sb="3" eb="4">
      <t>ケイ</t>
    </rPh>
    <phoneticPr fontId="1"/>
  </si>
  <si>
    <t>1075</t>
    <phoneticPr fontId="1"/>
  </si>
  <si>
    <t>1027</t>
    <phoneticPr fontId="1"/>
  </si>
  <si>
    <t>1068</t>
    <phoneticPr fontId="1"/>
  </si>
  <si>
    <t>３日後</t>
    <rPh sb="1" eb="3">
      <t>ニチゴ</t>
    </rPh>
    <rPh sb="2" eb="3">
      <t>アト</t>
    </rPh>
    <phoneticPr fontId="1"/>
  </si>
  <si>
    <t>４日後</t>
    <rPh sb="2" eb="3">
      <t>アト</t>
    </rPh>
    <phoneticPr fontId="1"/>
  </si>
  <si>
    <t>1081</t>
    <phoneticPr fontId="1"/>
  </si>
  <si>
    <t>1036</t>
    <phoneticPr fontId="1"/>
  </si>
  <si>
    <t>1051</t>
    <phoneticPr fontId="1"/>
  </si>
  <si>
    <t>1058</t>
    <phoneticPr fontId="1"/>
  </si>
  <si>
    <t>1031</t>
    <phoneticPr fontId="1"/>
  </si>
  <si>
    <t>1006</t>
    <phoneticPr fontId="1"/>
  </si>
  <si>
    <t>西植田</t>
    <rPh sb="0" eb="1">
      <t>ニシ</t>
    </rPh>
    <rPh sb="1" eb="2">
      <t>ショク</t>
    </rPh>
    <rPh sb="2" eb="3">
      <t>タ</t>
    </rPh>
    <phoneticPr fontId="1"/>
  </si>
  <si>
    <t>1025</t>
    <phoneticPr fontId="1"/>
  </si>
  <si>
    <t>1032</t>
    <phoneticPr fontId="1"/>
  </si>
  <si>
    <t>1072</t>
    <phoneticPr fontId="1"/>
  </si>
  <si>
    <t>弓弦羽</t>
    <rPh sb="0" eb="2">
      <t>ユズリ</t>
    </rPh>
    <rPh sb="2" eb="3">
      <t>ハネ</t>
    </rPh>
    <phoneticPr fontId="1"/>
  </si>
  <si>
    <t>428</t>
    <phoneticPr fontId="1"/>
  </si>
  <si>
    <t>1021</t>
    <phoneticPr fontId="1"/>
  </si>
  <si>
    <t>1061</t>
    <phoneticPr fontId="1"/>
  </si>
  <si>
    <t>495</t>
    <phoneticPr fontId="1"/>
  </si>
  <si>
    <t>1015</t>
    <phoneticPr fontId="1"/>
  </si>
  <si>
    <t>307</t>
    <phoneticPr fontId="1"/>
  </si>
  <si>
    <t>1076</t>
    <phoneticPr fontId="1"/>
  </si>
  <si>
    <t>1056</t>
    <phoneticPr fontId="1"/>
  </si>
  <si>
    <t>427</t>
    <phoneticPr fontId="1"/>
  </si>
  <si>
    <t>465</t>
    <phoneticPr fontId="1"/>
  </si>
  <si>
    <t>1008</t>
    <phoneticPr fontId="1"/>
  </si>
  <si>
    <t>　</t>
    <phoneticPr fontId="1"/>
  </si>
  <si>
    <t>日付を消す</t>
    <rPh sb="0" eb="2">
      <t>ヒヅケ</t>
    </rPh>
    <rPh sb="3" eb="4">
      <t>ケ</t>
    </rPh>
    <phoneticPr fontId="1"/>
  </si>
  <si>
    <t>５日後</t>
    <rPh sb="2" eb="3">
      <t>アト</t>
    </rPh>
    <phoneticPr fontId="1"/>
  </si>
  <si>
    <t>北浜始</t>
    <rPh sb="0" eb="2">
      <t>キタハマ</t>
    </rPh>
    <rPh sb="2" eb="3">
      <t>ハジ</t>
    </rPh>
    <phoneticPr fontId="1"/>
  </si>
  <si>
    <t>北浜終</t>
    <rPh sb="0" eb="2">
      <t>キタハマ</t>
    </rPh>
    <rPh sb="2" eb="3">
      <t>オ</t>
    </rPh>
    <phoneticPr fontId="1"/>
  </si>
  <si>
    <t>通算km</t>
    <rPh sb="0" eb="2">
      <t>ツウサン</t>
    </rPh>
    <phoneticPr fontId="1"/>
  </si>
  <si>
    <t>ハンドル</t>
  </si>
  <si>
    <t>事故、遅延 道路状況等 必要事項</t>
    <rPh sb="0" eb="2">
      <t>ジコ</t>
    </rPh>
    <rPh sb="3" eb="5">
      <t>チエン</t>
    </rPh>
    <rPh sb="6" eb="8">
      <t>ドウロ</t>
    </rPh>
    <rPh sb="8" eb="10">
      <t>ジョウキョウ</t>
    </rPh>
    <rPh sb="10" eb="11">
      <t>トウ</t>
    </rPh>
    <rPh sb="12" eb="14">
      <t>ヒツヨウ</t>
    </rPh>
    <rPh sb="14" eb="16">
      <t>ジコウ</t>
    </rPh>
    <phoneticPr fontId="1"/>
  </si>
  <si>
    <t>書く</t>
    <rPh sb="0" eb="1">
      <t>カ</t>
    </rPh>
    <phoneticPr fontId="1"/>
  </si>
  <si>
    <t xml:space="preserve">  本社より回送で出発地。</t>
    <rPh sb="2" eb="4">
      <t>ホンシャ</t>
    </rPh>
    <rPh sb="6" eb="8">
      <t>カイソウ</t>
    </rPh>
    <rPh sb="9" eb="11">
      <t>シュッパツ</t>
    </rPh>
    <rPh sb="11" eb="12">
      <t>チ</t>
    </rPh>
    <phoneticPr fontId="1"/>
  </si>
  <si>
    <t xml:space="preserve">  到着地より回送で本社戻り。</t>
    <rPh sb="2" eb="5">
      <t>トウチャクチ</t>
    </rPh>
    <rPh sb="7" eb="9">
      <t>カイソウ</t>
    </rPh>
    <rPh sb="10" eb="12">
      <t>ホンシャ</t>
    </rPh>
    <rPh sb="12" eb="13">
      <t>モド</t>
    </rPh>
    <phoneticPr fontId="1"/>
  </si>
  <si>
    <t>　航空機到着遅れで延着　　分。</t>
    <rPh sb="1" eb="4">
      <t>コウクウキ</t>
    </rPh>
    <rPh sb="4" eb="6">
      <t>トウチャク</t>
    </rPh>
    <rPh sb="6" eb="7">
      <t>オク</t>
    </rPh>
    <rPh sb="9" eb="11">
      <t>エンチャク</t>
    </rPh>
    <rPh sb="13" eb="14">
      <t>フン</t>
    </rPh>
    <phoneticPr fontId="1"/>
  </si>
  <si>
    <t>６日後</t>
    <rPh sb="2" eb="3">
      <t>アト</t>
    </rPh>
    <phoneticPr fontId="1"/>
  </si>
  <si>
    <t>K2</t>
    <phoneticPr fontId="1"/>
  </si>
  <si>
    <t>507</t>
    <phoneticPr fontId="1"/>
  </si>
  <si>
    <t>社員番号</t>
    <rPh sb="0" eb="4">
      <t>シャインバンゴウ</t>
    </rPh>
    <phoneticPr fontId="1"/>
  </si>
  <si>
    <t>氏名</t>
    <rPh sb="0" eb="2">
      <t>シメイ</t>
    </rPh>
    <phoneticPr fontId="1"/>
  </si>
  <si>
    <t>田宮　真理</t>
    <rPh sb="0" eb="2">
      <t>タミヤ</t>
    </rPh>
    <rPh sb="3" eb="5">
      <t>マリ</t>
    </rPh>
    <phoneticPr fontId="1"/>
  </si>
  <si>
    <t>多田 真奈美</t>
    <rPh sb="0" eb="2">
      <t>タダ</t>
    </rPh>
    <rPh sb="3" eb="6">
      <t>マナミ</t>
    </rPh>
    <phoneticPr fontId="1"/>
  </si>
  <si>
    <t>所定時間</t>
    <rPh sb="0" eb="2">
      <t>ショテイ</t>
    </rPh>
    <rPh sb="2" eb="4">
      <t>ジカン</t>
    </rPh>
    <phoneticPr fontId="1"/>
  </si>
  <si>
    <t>通算k/拘束</t>
    <rPh sb="0" eb="2">
      <t>ツウサン</t>
    </rPh>
    <rPh sb="4" eb="6">
      <t>コウソク</t>
    </rPh>
    <phoneticPr fontId="1"/>
  </si>
  <si>
    <t>兼近　光夫</t>
    <rPh sb="0" eb="2">
      <t>カネチカ</t>
    </rPh>
    <rPh sb="3" eb="5">
      <t>ミツオ</t>
    </rPh>
    <phoneticPr fontId="1"/>
  </si>
  <si>
    <t>河合　邦夫</t>
    <rPh sb="0" eb="2">
      <t>カワイ</t>
    </rPh>
    <rPh sb="3" eb="5">
      <t>クニオ</t>
    </rPh>
    <phoneticPr fontId="1"/>
  </si>
  <si>
    <t>安部 正勇輝</t>
    <rPh sb="0" eb="2">
      <t>アベ</t>
    </rPh>
    <rPh sb="3" eb="4">
      <t>マサ</t>
    </rPh>
    <rPh sb="4" eb="5">
      <t>ユウ</t>
    </rPh>
    <rPh sb="5" eb="6">
      <t>カガヤ</t>
    </rPh>
    <phoneticPr fontId="1"/>
  </si>
  <si>
    <t>長田　康弘</t>
    <rPh sb="0" eb="2">
      <t>オサダ</t>
    </rPh>
    <rPh sb="3" eb="5">
      <t>ヤスヒロ</t>
    </rPh>
    <phoneticPr fontId="1"/>
  </si>
  <si>
    <t>石成　政彦</t>
    <rPh sb="0" eb="2">
      <t>イシナ</t>
    </rPh>
    <rPh sb="3" eb="5">
      <t>マサヒコ</t>
    </rPh>
    <phoneticPr fontId="1"/>
  </si>
  <si>
    <t>坂口　光男</t>
    <rPh sb="0" eb="2">
      <t>サカグチ</t>
    </rPh>
    <rPh sb="3" eb="5">
      <t>ミツオ</t>
    </rPh>
    <phoneticPr fontId="1"/>
  </si>
  <si>
    <t>元木　広明</t>
    <rPh sb="0" eb="2">
      <t>モトキ</t>
    </rPh>
    <rPh sb="3" eb="5">
      <t>ヒロアキ</t>
    </rPh>
    <phoneticPr fontId="1"/>
  </si>
  <si>
    <t>細谷　一登</t>
    <rPh sb="0" eb="2">
      <t>ホソタニ</t>
    </rPh>
    <rPh sb="3" eb="4">
      <t>カズ</t>
    </rPh>
    <rPh sb="4" eb="5">
      <t>ノボ</t>
    </rPh>
    <phoneticPr fontId="1"/>
  </si>
  <si>
    <t>市ノ瀬　功</t>
    <rPh sb="0" eb="1">
      <t>イチ</t>
    </rPh>
    <rPh sb="2" eb="3">
      <t>セ</t>
    </rPh>
    <rPh sb="4" eb="5">
      <t>イサオ</t>
    </rPh>
    <phoneticPr fontId="1"/>
  </si>
  <si>
    <t>岩藤　正樹</t>
    <rPh sb="0" eb="2">
      <t>イワフジ</t>
    </rPh>
    <rPh sb="3" eb="5">
      <t>マサキ</t>
    </rPh>
    <phoneticPr fontId="1"/>
  </si>
  <si>
    <t>山地　輝明</t>
    <rPh sb="0" eb="2">
      <t>サンチ</t>
    </rPh>
    <rPh sb="3" eb="5">
      <t>テルアキ</t>
    </rPh>
    <phoneticPr fontId="1"/>
  </si>
  <si>
    <t>藤田　和文</t>
    <rPh sb="0" eb="2">
      <t>フジタ</t>
    </rPh>
    <rPh sb="3" eb="5">
      <t>カズフミ</t>
    </rPh>
    <phoneticPr fontId="1"/>
  </si>
  <si>
    <t>藤井　卓仁</t>
    <rPh sb="0" eb="2">
      <t>フジイ</t>
    </rPh>
    <rPh sb="3" eb="4">
      <t>タク</t>
    </rPh>
    <rPh sb="4" eb="5">
      <t>ジン</t>
    </rPh>
    <phoneticPr fontId="1"/>
  </si>
  <si>
    <t>新谷　清人</t>
    <rPh sb="0" eb="2">
      <t>シンタニ</t>
    </rPh>
    <rPh sb="3" eb="5">
      <t>キヨヒト</t>
    </rPh>
    <phoneticPr fontId="1"/>
  </si>
  <si>
    <t>角田　忠司</t>
    <rPh sb="0" eb="2">
      <t>カクタ</t>
    </rPh>
    <rPh sb="3" eb="4">
      <t>タダシ</t>
    </rPh>
    <rPh sb="4" eb="5">
      <t>ツカサ</t>
    </rPh>
    <phoneticPr fontId="1"/>
  </si>
  <si>
    <t>山田　裕貴</t>
    <rPh sb="0" eb="2">
      <t>ヤマダ</t>
    </rPh>
    <rPh sb="3" eb="5">
      <t>ユウキ</t>
    </rPh>
    <phoneticPr fontId="1"/>
  </si>
  <si>
    <t>平田　大祐</t>
    <rPh sb="0" eb="2">
      <t>ヒラタ</t>
    </rPh>
    <rPh sb="3" eb="5">
      <t>ダイスケ</t>
    </rPh>
    <phoneticPr fontId="1"/>
  </si>
  <si>
    <t>駒井　伸行</t>
    <rPh sb="0" eb="2">
      <t>コマイ</t>
    </rPh>
    <rPh sb="3" eb="5">
      <t>ノブユキ</t>
    </rPh>
    <phoneticPr fontId="1"/>
  </si>
  <si>
    <t>藤富　 龍</t>
    <rPh sb="0" eb="2">
      <t>フジトミ</t>
    </rPh>
    <rPh sb="4" eb="5">
      <t>リュウ</t>
    </rPh>
    <phoneticPr fontId="1"/>
  </si>
  <si>
    <t>坂口　政文</t>
    <rPh sb="0" eb="2">
      <t>サカグチ</t>
    </rPh>
    <rPh sb="3" eb="5">
      <t>マサフミ</t>
    </rPh>
    <phoneticPr fontId="1"/>
  </si>
  <si>
    <t>森　 勇二郎</t>
    <rPh sb="0" eb="1">
      <t>モリ</t>
    </rPh>
    <rPh sb="3" eb="6">
      <t>ユウジロウ</t>
    </rPh>
    <phoneticPr fontId="1"/>
  </si>
  <si>
    <t>宮武　浩司</t>
    <rPh sb="0" eb="2">
      <t>ミヤタケ</t>
    </rPh>
    <rPh sb="3" eb="5">
      <t>コウジ</t>
    </rPh>
    <phoneticPr fontId="1"/>
  </si>
  <si>
    <t>林　　聖二</t>
    <rPh sb="0" eb="1">
      <t>ハヤシ</t>
    </rPh>
    <rPh sb="3" eb="5">
      <t>セイジ</t>
    </rPh>
    <phoneticPr fontId="1"/>
  </si>
  <si>
    <t>寺川　和博</t>
    <rPh sb="0" eb="2">
      <t>テラカワ</t>
    </rPh>
    <rPh sb="3" eb="4">
      <t>カズ</t>
    </rPh>
    <rPh sb="4" eb="5">
      <t>ヒロシ</t>
    </rPh>
    <phoneticPr fontId="1"/>
  </si>
  <si>
    <t>多田　涼佑</t>
    <rPh sb="0" eb="2">
      <t>タダ</t>
    </rPh>
    <rPh sb="3" eb="4">
      <t>リョウ</t>
    </rPh>
    <rPh sb="4" eb="5">
      <t>スケ</t>
    </rPh>
    <phoneticPr fontId="1"/>
  </si>
  <si>
    <t>増出</t>
    <rPh sb="0" eb="1">
      <t>ゾウ</t>
    </rPh>
    <rPh sb="1" eb="2">
      <t>デ</t>
    </rPh>
    <phoneticPr fontId="1"/>
  </si>
  <si>
    <t>公出</t>
    <rPh sb="0" eb="1">
      <t>コウ</t>
    </rPh>
    <rPh sb="1" eb="2">
      <t>デ</t>
    </rPh>
    <phoneticPr fontId="1"/>
  </si>
  <si>
    <t>休出ですか？</t>
    <rPh sb="0" eb="2">
      <t>キュウシュツ</t>
    </rPh>
    <phoneticPr fontId="1"/>
  </si>
  <si>
    <t>宿泊しますか？</t>
    <rPh sb="0" eb="2">
      <t>シュクハク</t>
    </rPh>
    <phoneticPr fontId="1"/>
  </si>
  <si>
    <t>通常勤務</t>
    <rPh sb="0" eb="2">
      <t>ツウジョウ</t>
    </rPh>
    <rPh sb="2" eb="4">
      <t>キンム</t>
    </rPh>
    <phoneticPr fontId="1"/>
  </si>
  <si>
    <t>到着時間</t>
    <phoneticPr fontId="1"/>
  </si>
  <si>
    <t>休出実働</t>
    <rPh sb="0" eb="1">
      <t>ヤス</t>
    </rPh>
    <rPh sb="1" eb="2">
      <t>デ</t>
    </rPh>
    <rPh sb="2" eb="4">
      <t>ジツドウ</t>
    </rPh>
    <phoneticPr fontId="1"/>
  </si>
  <si>
    <t>休出 60</t>
    <rPh sb="0" eb="2">
      <t>キュウシュツ</t>
    </rPh>
    <phoneticPr fontId="1"/>
  </si>
  <si>
    <t>眞鍋　和義</t>
    <rPh sb="0" eb="2">
      <t>マナベ</t>
    </rPh>
    <rPh sb="3" eb="4">
      <t>カズ</t>
    </rPh>
    <rPh sb="4" eb="5">
      <t>ヨシ</t>
    </rPh>
    <phoneticPr fontId="1"/>
  </si>
  <si>
    <t>全拘束計</t>
    <rPh sb="0" eb="1">
      <t>ゼン</t>
    </rPh>
    <rPh sb="1" eb="3">
      <t>コウソク</t>
    </rPh>
    <rPh sb="3" eb="4">
      <t>ケイ</t>
    </rPh>
    <phoneticPr fontId="1"/>
  </si>
  <si>
    <t>中休判断用→</t>
    <rPh sb="0" eb="2">
      <t>ナカヤス</t>
    </rPh>
    <rPh sb="2" eb="4">
      <t>ハンダン</t>
    </rPh>
    <rPh sb="4" eb="5">
      <t>ヨウ</t>
    </rPh>
    <phoneticPr fontId="1"/>
  </si>
  <si>
    <t xml:space="preserve">  </t>
    <phoneticPr fontId="1"/>
  </si>
  <si>
    <t>2003</t>
    <phoneticPr fontId="1"/>
  </si>
  <si>
    <t>竹本　俊一</t>
    <rPh sb="0" eb="2">
      <t>タケモト</t>
    </rPh>
    <rPh sb="3" eb="4">
      <t>トシ</t>
    </rPh>
    <rPh sb="4" eb="5">
      <t>イチ</t>
    </rPh>
    <phoneticPr fontId="1"/>
  </si>
  <si>
    <t>休出100</t>
    <rPh sb="0" eb="1">
      <t>ヤス</t>
    </rPh>
    <rPh sb="1" eb="2">
      <t>デ</t>
    </rPh>
    <phoneticPr fontId="1"/>
  </si>
  <si>
    <t>休出60</t>
    <rPh sb="0" eb="1">
      <t>ヤス</t>
    </rPh>
    <rPh sb="1" eb="2">
      <t>デ</t>
    </rPh>
    <phoneticPr fontId="1"/>
  </si>
  <si>
    <t>↓</t>
    <phoneticPr fontId="1"/>
  </si>
  <si>
    <t>河野　 修</t>
    <rPh sb="0" eb="2">
      <t>コウノ</t>
    </rPh>
    <rPh sb="4" eb="5">
      <t>オサム</t>
    </rPh>
    <phoneticPr fontId="1"/>
  </si>
  <si>
    <t>YES</t>
  </si>
  <si>
    <t>吉岡　清秀</t>
    <rPh sb="0" eb="2">
      <t>ヨシオカ</t>
    </rPh>
    <rPh sb="3" eb="5">
      <t>キヨヒデ</t>
    </rPh>
    <phoneticPr fontId="1"/>
  </si>
  <si>
    <t>出発時間</t>
    <rPh sb="0" eb="2">
      <t>シュッパツ</t>
    </rPh>
    <rPh sb="2" eb="4">
      <t>ジカン</t>
    </rPh>
    <phoneticPr fontId="1"/>
  </si>
  <si>
    <t>出勤時間</t>
    <rPh sb="0" eb="2">
      <t>シュッキン</t>
    </rPh>
    <rPh sb="2" eb="4">
      <t>ジカン</t>
    </rPh>
    <phoneticPr fontId="1"/>
  </si>
  <si>
    <t>退勤時間</t>
    <rPh sb="0" eb="2">
      <t>タイキン</t>
    </rPh>
    <rPh sb="2" eb="4">
      <t>ジカン</t>
    </rPh>
    <phoneticPr fontId="1"/>
  </si>
  <si>
    <t>猪熊　利昭</t>
    <phoneticPr fontId="1"/>
  </si>
  <si>
    <t>←社員番号で出ない人は</t>
    <rPh sb="1" eb="3">
      <t>シャイン</t>
    </rPh>
    <rPh sb="3" eb="5">
      <t>バンゴウ</t>
    </rPh>
    <rPh sb="6" eb="7">
      <t>デ</t>
    </rPh>
    <rPh sb="9" eb="10">
      <t>ヒト</t>
    </rPh>
    <phoneticPr fontId="1"/>
  </si>
  <si>
    <t>バス 太郎</t>
    <rPh sb="3" eb="5">
      <t>タロウ</t>
    </rPh>
    <phoneticPr fontId="1"/>
  </si>
  <si>
    <t>直接入力出来ます</t>
    <rPh sb="4" eb="6">
      <t>デキ</t>
    </rPh>
    <phoneticPr fontId="1"/>
  </si>
  <si>
    <t/>
  </si>
  <si>
    <t xml:space="preserve"> ワンマン</t>
    <phoneticPr fontId="1"/>
  </si>
  <si>
    <t>1083</t>
    <phoneticPr fontId="1"/>
  </si>
  <si>
    <t>回送＋ハンドル</t>
    <rPh sb="0" eb="2">
      <t>カイソウ</t>
    </rPh>
    <phoneticPr fontId="1"/>
  </si>
  <si>
    <t>中村　行伸</t>
    <rPh sb="0" eb="2">
      <t>ナカムラ</t>
    </rPh>
    <rPh sb="3" eb="5">
      <t>ユキノブ</t>
    </rPh>
    <phoneticPr fontId="1"/>
  </si>
  <si>
    <t>金倉　幸資</t>
    <rPh sb="0" eb="2">
      <t>カナクラ</t>
    </rPh>
    <rPh sb="3" eb="4">
      <t>サチ</t>
    </rPh>
    <rPh sb="4" eb="5">
      <t>シ</t>
    </rPh>
    <phoneticPr fontId="1"/>
  </si>
  <si>
    <t xml:space="preserve"> </t>
    <phoneticPr fontId="1"/>
  </si>
  <si>
    <t>休憩判定</t>
    <rPh sb="0" eb="2">
      <t>キュウケイ</t>
    </rPh>
    <rPh sb="2" eb="4">
      <t>ハンテイ</t>
    </rPh>
    <phoneticPr fontId="1"/>
  </si>
  <si>
    <t>藤本　 寛</t>
    <rPh sb="0" eb="2">
      <t>フジモト</t>
    </rPh>
    <rPh sb="4" eb="5">
      <t>ヒロシ</t>
    </rPh>
    <phoneticPr fontId="1"/>
  </si>
  <si>
    <t>新谷　清人</t>
    <rPh sb="0" eb="2">
      <t>シンタニ</t>
    </rPh>
    <rPh sb="3" eb="5">
      <t>キヨト</t>
    </rPh>
    <phoneticPr fontId="1"/>
  </si>
  <si>
    <t>熊　 伸弥</t>
    <rPh sb="0" eb="1">
      <t>クマ</t>
    </rPh>
    <rPh sb="3" eb="5">
      <t>シンヤ</t>
    </rPh>
    <phoneticPr fontId="1"/>
  </si>
  <si>
    <t>富岡　春彦</t>
    <rPh sb="0" eb="2">
      <t>トミオカ</t>
    </rPh>
    <rPh sb="3" eb="4">
      <t>ハル</t>
    </rPh>
    <rPh sb="4" eb="5">
      <t>ヒコ</t>
    </rPh>
    <phoneticPr fontId="1"/>
  </si>
  <si>
    <t>長尾　一樹</t>
    <rPh sb="0" eb="2">
      <t>ナガオ</t>
    </rPh>
    <rPh sb="3" eb="5">
      <t>カズキ</t>
    </rPh>
    <phoneticPr fontId="1"/>
  </si>
  <si>
    <t>片岡　万巳</t>
    <rPh sb="0" eb="2">
      <t>カタオカ</t>
    </rPh>
    <rPh sb="3" eb="4">
      <t>マン</t>
    </rPh>
    <rPh sb="4" eb="5">
      <t>ミ</t>
    </rPh>
    <phoneticPr fontId="1"/>
  </si>
  <si>
    <t>黒川　善夫</t>
    <rPh sb="0" eb="2">
      <t>クロカワ</t>
    </rPh>
    <rPh sb="3" eb="5">
      <t>ヨシオ</t>
    </rPh>
    <phoneticPr fontId="1"/>
  </si>
  <si>
    <t xml:space="preserve">１-１　全部+回送戻               </t>
    <rPh sb="3" eb="5">
      <t>ゼンブ</t>
    </rPh>
    <rPh sb="7" eb="9">
      <t>カイソウ</t>
    </rPh>
    <rPh sb="8" eb="9">
      <t>モド</t>
    </rPh>
    <phoneticPr fontId="1"/>
  </si>
  <si>
    <t xml:space="preserve">１-１                      </t>
    <phoneticPr fontId="1"/>
  </si>
  <si>
    <t xml:space="preserve">１-２　回送行+全部               </t>
    <phoneticPr fontId="1"/>
  </si>
  <si>
    <t xml:space="preserve">１-２                       </t>
    <phoneticPr fontId="1"/>
  </si>
  <si>
    <t>1038</t>
    <phoneticPr fontId="1"/>
  </si>
  <si>
    <t>１-３　12:00-14:25</t>
  </si>
  <si>
    <t>509</t>
    <phoneticPr fontId="1"/>
  </si>
  <si>
    <t>１-３　15:55-18:30</t>
  </si>
  <si>
    <t>510</t>
    <phoneticPr fontId="1"/>
  </si>
  <si>
    <t>１-３　19:50-20:52</t>
  </si>
  <si>
    <t xml:space="preserve">１-３                      </t>
    <phoneticPr fontId="1"/>
  </si>
  <si>
    <t xml:space="preserve">１-４                      </t>
    <phoneticPr fontId="1"/>
  </si>
  <si>
    <t>１-５　11:25-13:50</t>
  </si>
  <si>
    <t>１-５　15:10-16:20</t>
  </si>
  <si>
    <t>１-５　17:45-20:25</t>
  </si>
  <si>
    <t xml:space="preserve">１-５                      </t>
    <phoneticPr fontId="1"/>
  </si>
  <si>
    <t xml:space="preserve">１-６                      </t>
    <phoneticPr fontId="1"/>
  </si>
  <si>
    <t>１-７　7:15-9:55</t>
  </si>
  <si>
    <t>1028</t>
    <phoneticPr fontId="1"/>
  </si>
  <si>
    <t>１-７　14:30-15:40</t>
  </si>
  <si>
    <t>１-７　17:05-19:45</t>
  </si>
  <si>
    <t xml:space="preserve">１-７                      </t>
    <phoneticPr fontId="1"/>
  </si>
  <si>
    <t xml:space="preserve">１-８                      </t>
    <phoneticPr fontId="1"/>
  </si>
  <si>
    <t>１-９　7:05-9:45</t>
  </si>
  <si>
    <t>1063</t>
    <phoneticPr fontId="1"/>
  </si>
  <si>
    <t xml:space="preserve">１-９                      </t>
    <phoneticPr fontId="1"/>
  </si>
  <si>
    <t xml:space="preserve">３-１                      </t>
    <phoneticPr fontId="1"/>
  </si>
  <si>
    <t xml:space="preserve">３-２　回送行+全部               </t>
    <phoneticPr fontId="1"/>
  </si>
  <si>
    <t xml:space="preserve">３-２                      </t>
    <phoneticPr fontId="1"/>
  </si>
  <si>
    <t>３-３　18:02-20:11</t>
    <phoneticPr fontId="1"/>
  </si>
  <si>
    <t xml:space="preserve">３-３                      </t>
    <phoneticPr fontId="1"/>
  </si>
  <si>
    <t>３-４　9:40-11:05</t>
    <phoneticPr fontId="1"/>
  </si>
  <si>
    <t>３-４　17:37-18:50</t>
    <phoneticPr fontId="1"/>
  </si>
  <si>
    <t>３-４　17:37-19:25(回送戻)</t>
    <phoneticPr fontId="1"/>
  </si>
  <si>
    <t xml:space="preserve">３-４　全部+回送戻               </t>
    <phoneticPr fontId="1"/>
  </si>
  <si>
    <t xml:space="preserve">３-４                      </t>
    <phoneticPr fontId="1"/>
  </si>
  <si>
    <t>３-５　6:36-7:41</t>
    <phoneticPr fontId="1"/>
  </si>
  <si>
    <t>３-５　5:58-7:41(回送行)</t>
    <phoneticPr fontId="1"/>
  </si>
  <si>
    <t xml:space="preserve">３-５　回送行+全部               </t>
    <phoneticPr fontId="1"/>
  </si>
  <si>
    <t xml:space="preserve">３-５                      </t>
    <phoneticPr fontId="1"/>
  </si>
  <si>
    <t>４-１　14:20-15:54</t>
    <phoneticPr fontId="1"/>
  </si>
  <si>
    <t xml:space="preserve">４-１　全部+回送戻               </t>
    <phoneticPr fontId="1"/>
  </si>
  <si>
    <t xml:space="preserve">４-１                      </t>
    <phoneticPr fontId="1"/>
  </si>
  <si>
    <t>４-２　6:32-8:21(回送行)</t>
    <phoneticPr fontId="1"/>
  </si>
  <si>
    <t xml:space="preserve">４-２　回送行+全部               </t>
    <phoneticPr fontId="1"/>
  </si>
  <si>
    <t xml:space="preserve">４-２                      </t>
    <phoneticPr fontId="1"/>
  </si>
  <si>
    <t>４-３　6:00-7:58</t>
    <phoneticPr fontId="1"/>
  </si>
  <si>
    <t>４-３　9:52-11:14</t>
    <phoneticPr fontId="1"/>
  </si>
  <si>
    <t>４-３　17:28-19:28</t>
    <phoneticPr fontId="1"/>
  </si>
  <si>
    <t xml:space="preserve">４-３                      </t>
    <phoneticPr fontId="1"/>
  </si>
  <si>
    <t>11:34</t>
    <phoneticPr fontId="1"/>
  </si>
  <si>
    <t>４-４　8:25-9:09</t>
    <phoneticPr fontId="1"/>
  </si>
  <si>
    <t xml:space="preserve">４-４　全部+回送戻                 </t>
    <phoneticPr fontId="1"/>
  </si>
  <si>
    <t xml:space="preserve">４-４                      </t>
    <phoneticPr fontId="1"/>
  </si>
  <si>
    <t>４-５　6:46-8:35(回送行)</t>
    <phoneticPr fontId="1"/>
  </si>
  <si>
    <t xml:space="preserve">４-５　回送行+全部               </t>
    <phoneticPr fontId="1"/>
  </si>
  <si>
    <t xml:space="preserve">４-５                      </t>
    <phoneticPr fontId="1"/>
  </si>
  <si>
    <t>５-１　7:41-9:25</t>
    <phoneticPr fontId="1"/>
  </si>
  <si>
    <t>５-１　17:49-19:58</t>
  </si>
  <si>
    <t>５-１　20:22-21:05</t>
    <phoneticPr fontId="1"/>
  </si>
  <si>
    <t xml:space="preserve">５-１　全部+回送戻               </t>
    <phoneticPr fontId="1"/>
  </si>
  <si>
    <t xml:space="preserve">５-１                      </t>
    <phoneticPr fontId="1"/>
  </si>
  <si>
    <t>５-２　6:42-8:14(回送行)</t>
    <phoneticPr fontId="1"/>
  </si>
  <si>
    <t>５-２　9:15-10:53</t>
    <phoneticPr fontId="1"/>
  </si>
  <si>
    <t xml:space="preserve">５-２　回送行+全部               </t>
    <phoneticPr fontId="1"/>
  </si>
  <si>
    <t xml:space="preserve">５-２                      </t>
    <phoneticPr fontId="1"/>
  </si>
  <si>
    <t>５-３　16:10-17:49</t>
    <phoneticPr fontId="1"/>
  </si>
  <si>
    <t xml:space="preserve">５-３                      </t>
    <phoneticPr fontId="1"/>
  </si>
  <si>
    <t>５-４　13:00-14:58</t>
    <phoneticPr fontId="1"/>
  </si>
  <si>
    <t>５-４　16:28-18:14</t>
    <phoneticPr fontId="1"/>
  </si>
  <si>
    <t xml:space="preserve">５-４                      </t>
    <phoneticPr fontId="1"/>
  </si>
  <si>
    <t xml:space="preserve">５-５                      </t>
    <phoneticPr fontId="1"/>
  </si>
  <si>
    <t>６-１　10:12-12:10</t>
    <phoneticPr fontId="1"/>
  </si>
  <si>
    <t>６-１　19:15-20:02</t>
    <phoneticPr fontId="1"/>
  </si>
  <si>
    <t>６-１　19:15-20:32(回送戻)</t>
    <phoneticPr fontId="1"/>
  </si>
  <si>
    <t xml:space="preserve">６-１　全部+回送戻                </t>
    <rPh sb="7" eb="8">
      <t>モド</t>
    </rPh>
    <phoneticPr fontId="1"/>
  </si>
  <si>
    <t>427     1588     1051</t>
    <phoneticPr fontId="1"/>
  </si>
  <si>
    <t xml:space="preserve">６-１                      </t>
    <phoneticPr fontId="1"/>
  </si>
  <si>
    <t>６-２　6:55-7:47</t>
    <phoneticPr fontId="1"/>
  </si>
  <si>
    <t>６-２　6:22-7:47(回送行)</t>
    <phoneticPr fontId="1"/>
  </si>
  <si>
    <t xml:space="preserve">６-２　回送行+全部               </t>
    <phoneticPr fontId="1"/>
  </si>
  <si>
    <t xml:space="preserve">６-２                      </t>
    <phoneticPr fontId="1"/>
  </si>
  <si>
    <t>６-３　18:12-20:07</t>
    <phoneticPr fontId="1"/>
  </si>
  <si>
    <t xml:space="preserve">６-３                      </t>
    <phoneticPr fontId="1"/>
  </si>
  <si>
    <t>15:02</t>
    <phoneticPr fontId="1"/>
  </si>
  <si>
    <t>６-４　16:00-17:23</t>
    <phoneticPr fontId="1"/>
  </si>
  <si>
    <t>６-４　18:25-19:37</t>
    <phoneticPr fontId="1"/>
  </si>
  <si>
    <t>６-４　18:25-20:12(回送戻)</t>
    <phoneticPr fontId="1"/>
  </si>
  <si>
    <t xml:space="preserve">６-４　全部+回送戻               </t>
    <phoneticPr fontId="1"/>
  </si>
  <si>
    <t>465     1031</t>
    <phoneticPr fontId="1"/>
  </si>
  <si>
    <t xml:space="preserve">６-４                      </t>
    <phoneticPr fontId="1"/>
  </si>
  <si>
    <t>６-５　6:42-7:48</t>
    <phoneticPr fontId="1"/>
  </si>
  <si>
    <t>６-５　6:04-7:48(回送行)</t>
    <phoneticPr fontId="1"/>
  </si>
  <si>
    <t xml:space="preserve">６-５　回送行+全部               </t>
  </si>
  <si>
    <t xml:space="preserve">６-５                      </t>
    <phoneticPr fontId="1"/>
  </si>
  <si>
    <t>７-１　15:05-17:04</t>
    <phoneticPr fontId="1"/>
  </si>
  <si>
    <t>７-１　20:20-21:04</t>
    <phoneticPr fontId="1"/>
  </si>
  <si>
    <t>７-１　20:20-21:39(回送戻)</t>
  </si>
  <si>
    <t xml:space="preserve">７-１　全部+回送戻               </t>
    <phoneticPr fontId="1"/>
  </si>
  <si>
    <t>1057     1083</t>
    <phoneticPr fontId="1"/>
  </si>
  <si>
    <t xml:space="preserve">７-１                      </t>
    <phoneticPr fontId="1"/>
  </si>
  <si>
    <t>７-２　6:45-7:39</t>
  </si>
  <si>
    <t>７-２　6:07-7:39(回送行)</t>
  </si>
  <si>
    <t>７-２　8:07-10:11</t>
    <phoneticPr fontId="1"/>
  </si>
  <si>
    <t xml:space="preserve">７-２　回送行+全部               </t>
    <phoneticPr fontId="1"/>
  </si>
  <si>
    <t xml:space="preserve">７-２                      </t>
    <phoneticPr fontId="1"/>
  </si>
  <si>
    <t xml:space="preserve">７-３                      </t>
    <phoneticPr fontId="1"/>
  </si>
  <si>
    <t>７-４　17:30-19:52</t>
    <phoneticPr fontId="1"/>
  </si>
  <si>
    <t xml:space="preserve">７-４                      </t>
    <phoneticPr fontId="1"/>
  </si>
  <si>
    <t xml:space="preserve">７-５                      </t>
    <phoneticPr fontId="1"/>
  </si>
  <si>
    <t>８-１　16:48-19:17</t>
    <phoneticPr fontId="1"/>
  </si>
  <si>
    <t>８-１　20:30-21:07</t>
    <phoneticPr fontId="1"/>
  </si>
  <si>
    <t>８-１　20:30-21:37(回送戻)</t>
    <phoneticPr fontId="1"/>
  </si>
  <si>
    <t xml:space="preserve">８-１　全部+回送戻               </t>
    <phoneticPr fontId="1"/>
  </si>
  <si>
    <t>1032       428</t>
    <phoneticPr fontId="1"/>
  </si>
  <si>
    <t xml:space="preserve">８-１                      </t>
    <phoneticPr fontId="1"/>
  </si>
  <si>
    <t xml:space="preserve">８-２　回送行+全部               </t>
    <phoneticPr fontId="1"/>
  </si>
  <si>
    <t xml:space="preserve">８-２                      </t>
    <phoneticPr fontId="1"/>
  </si>
  <si>
    <t xml:space="preserve">８-３                      </t>
    <phoneticPr fontId="1"/>
  </si>
  <si>
    <t>12:52</t>
    <phoneticPr fontId="1"/>
  </si>
  <si>
    <t>15:25</t>
    <phoneticPr fontId="1"/>
  </si>
  <si>
    <t>８-４　19:28-20:08</t>
    <phoneticPr fontId="1"/>
  </si>
  <si>
    <t>８-４　19:28-20:38(回送戻)</t>
    <phoneticPr fontId="1"/>
  </si>
  <si>
    <t xml:space="preserve">８-４　全部+回送戻                 </t>
    <phoneticPr fontId="1"/>
  </si>
  <si>
    <t xml:space="preserve">８-４                      </t>
    <phoneticPr fontId="1"/>
  </si>
  <si>
    <t xml:space="preserve">８-５　回送行+全部               </t>
  </si>
  <si>
    <t xml:space="preserve">８-５                      </t>
    <phoneticPr fontId="1"/>
  </si>
  <si>
    <t>９-１　13:13-14:33</t>
    <phoneticPr fontId="1"/>
  </si>
  <si>
    <t xml:space="preserve">９-１　全部+回送戻               </t>
    <phoneticPr fontId="1"/>
  </si>
  <si>
    <t xml:space="preserve">９-１                      </t>
    <phoneticPr fontId="1"/>
  </si>
  <si>
    <t>９-２　6:32-7:25</t>
    <phoneticPr fontId="1"/>
  </si>
  <si>
    <t>９-２　5:54-7:25(回送行)</t>
    <phoneticPr fontId="1"/>
  </si>
  <si>
    <t xml:space="preserve">９-２　回送行+全部              </t>
    <phoneticPr fontId="1"/>
  </si>
  <si>
    <t xml:space="preserve">９-２                      </t>
    <phoneticPr fontId="1"/>
  </si>
  <si>
    <t>９-３　6:35-8:37</t>
    <phoneticPr fontId="1"/>
  </si>
  <si>
    <t xml:space="preserve">９-３                      </t>
    <phoneticPr fontId="1"/>
  </si>
  <si>
    <t>９-４　18:30-20:46</t>
    <phoneticPr fontId="1"/>
  </si>
  <si>
    <t>９-４　18:30-19:09</t>
    <phoneticPr fontId="1"/>
  </si>
  <si>
    <t xml:space="preserve">９-４                      </t>
    <phoneticPr fontId="1"/>
  </si>
  <si>
    <t xml:space="preserve">９-５                      </t>
    <phoneticPr fontId="1"/>
  </si>
  <si>
    <t xml:space="preserve">10-１                     </t>
  </si>
  <si>
    <t xml:space="preserve">10-２                     </t>
    <phoneticPr fontId="1"/>
  </si>
  <si>
    <t xml:space="preserve">10-３                     </t>
    <phoneticPr fontId="1"/>
  </si>
  <si>
    <t>10-４　11:07-12:42</t>
    <phoneticPr fontId="1"/>
  </si>
  <si>
    <t>10-４　13:58-16:28</t>
    <phoneticPr fontId="1"/>
  </si>
  <si>
    <t>10-４　17:43-19:20</t>
    <phoneticPr fontId="1"/>
  </si>
  <si>
    <t xml:space="preserve">10-４　全部+回送戻              </t>
    <phoneticPr fontId="1"/>
  </si>
  <si>
    <t xml:space="preserve">10-４                     </t>
    <phoneticPr fontId="1"/>
  </si>
  <si>
    <t>10-５　6:52-7:56</t>
    <phoneticPr fontId="1"/>
  </si>
  <si>
    <t>10-５　6:14-7:56(回送行)</t>
    <phoneticPr fontId="1"/>
  </si>
  <si>
    <t xml:space="preserve">10-５　回送行+全部              </t>
    <phoneticPr fontId="1"/>
  </si>
  <si>
    <t xml:space="preserve">10-５                     </t>
    <phoneticPr fontId="1"/>
  </si>
  <si>
    <t xml:space="preserve">はみ ２                      </t>
    <phoneticPr fontId="1"/>
  </si>
  <si>
    <t xml:space="preserve">はみ ３                      </t>
    <phoneticPr fontId="1"/>
  </si>
  <si>
    <t xml:space="preserve">はみ ４                     </t>
    <phoneticPr fontId="1"/>
  </si>
  <si>
    <t xml:space="preserve">はみ ５                      </t>
    <phoneticPr fontId="1"/>
  </si>
  <si>
    <t xml:space="preserve">はみ ６                      </t>
    <phoneticPr fontId="1"/>
  </si>
  <si>
    <t>予備１　　6:00～</t>
    <rPh sb="0" eb="1">
      <t>ヨビ</t>
    </rPh>
    <phoneticPr fontId="1"/>
  </si>
  <si>
    <t>-</t>
  </si>
  <si>
    <t>予備２　　6:15～</t>
    <rPh sb="0" eb="1">
      <t>ヨビ</t>
    </rPh>
    <phoneticPr fontId="1"/>
  </si>
  <si>
    <t>予備４　～19:00</t>
    <rPh sb="0" eb="1">
      <t>ヨビ</t>
    </rPh>
    <phoneticPr fontId="1"/>
  </si>
  <si>
    <t>予備５　～21：00</t>
    <rPh sb="0" eb="1">
      <t>ヨビ</t>
    </rPh>
    <phoneticPr fontId="1"/>
  </si>
  <si>
    <t xml:space="preserve">循環-１                    </t>
    <phoneticPr fontId="1"/>
  </si>
  <si>
    <t xml:space="preserve">循環-２                     </t>
    <phoneticPr fontId="1"/>
  </si>
  <si>
    <t xml:space="preserve">循環-３                     </t>
    <phoneticPr fontId="1"/>
  </si>
  <si>
    <t xml:space="preserve">循環-４                    </t>
    <phoneticPr fontId="1"/>
  </si>
  <si>
    <t xml:space="preserve">循環-５                    </t>
    <phoneticPr fontId="1"/>
  </si>
  <si>
    <t xml:space="preserve">循環-６                    </t>
    <phoneticPr fontId="1"/>
  </si>
  <si>
    <t xml:space="preserve">循環-７                     </t>
    <phoneticPr fontId="1"/>
  </si>
  <si>
    <t xml:space="preserve">循環-８                     </t>
    <phoneticPr fontId="1"/>
  </si>
  <si>
    <t xml:space="preserve">循環-９                     </t>
    <phoneticPr fontId="1"/>
  </si>
  <si>
    <t>５-２　7:15-8:14</t>
    <phoneticPr fontId="1"/>
  </si>
  <si>
    <t>庵    治</t>
    <rPh sb="0" eb="1">
      <t>イオリ</t>
    </rPh>
    <rPh sb="5" eb="6">
      <t>オサム</t>
    </rPh>
    <phoneticPr fontId="1"/>
  </si>
  <si>
    <t>庵    治</t>
    <phoneticPr fontId="1"/>
  </si>
  <si>
    <t xml:space="preserve">２-２                          </t>
    <phoneticPr fontId="1"/>
  </si>
  <si>
    <t>北    浜</t>
  </si>
  <si>
    <t xml:space="preserve">２-３                          </t>
    <phoneticPr fontId="1"/>
  </si>
  <si>
    <t xml:space="preserve">２-４                       </t>
    <phoneticPr fontId="1"/>
  </si>
  <si>
    <t xml:space="preserve">２-５                          </t>
    <phoneticPr fontId="1"/>
  </si>
  <si>
    <t xml:space="preserve">２-６                       </t>
    <phoneticPr fontId="1"/>
  </si>
  <si>
    <t xml:space="preserve">R-１                       </t>
    <phoneticPr fontId="1"/>
  </si>
  <si>
    <t xml:space="preserve">R-２                      </t>
    <phoneticPr fontId="1"/>
  </si>
  <si>
    <t xml:space="preserve">R-３                      </t>
    <phoneticPr fontId="1"/>
  </si>
  <si>
    <t xml:space="preserve">R-４                      </t>
    <phoneticPr fontId="1"/>
  </si>
  <si>
    <t xml:space="preserve">R-５                      </t>
    <phoneticPr fontId="1"/>
  </si>
  <si>
    <t xml:space="preserve">R-６                      </t>
    <phoneticPr fontId="1"/>
  </si>
  <si>
    <t xml:space="preserve">R-７                      </t>
    <phoneticPr fontId="1"/>
  </si>
  <si>
    <t xml:space="preserve">R-８                      </t>
    <phoneticPr fontId="1"/>
  </si>
  <si>
    <t xml:space="preserve">R-９                      </t>
    <phoneticPr fontId="1"/>
  </si>
  <si>
    <t xml:space="preserve">R-10                      </t>
    <phoneticPr fontId="1"/>
  </si>
  <si>
    <t xml:space="preserve">R-11                      </t>
    <phoneticPr fontId="1"/>
  </si>
  <si>
    <t xml:space="preserve">R-12                      </t>
    <phoneticPr fontId="1"/>
  </si>
  <si>
    <t xml:space="preserve">R-13                      </t>
    <phoneticPr fontId="1"/>
  </si>
  <si>
    <t xml:space="preserve">R-14                      </t>
    <phoneticPr fontId="1"/>
  </si>
  <si>
    <t xml:space="preserve">R-15                      </t>
    <phoneticPr fontId="1"/>
  </si>
  <si>
    <t xml:space="preserve">R-16                      </t>
    <phoneticPr fontId="1"/>
  </si>
  <si>
    <t xml:space="preserve">R-17                      </t>
    <phoneticPr fontId="1"/>
  </si>
  <si>
    <t xml:space="preserve">R-18                      </t>
    <phoneticPr fontId="1"/>
  </si>
  <si>
    <t>10-１　19:30-21:16</t>
    <phoneticPr fontId="1"/>
  </si>
  <si>
    <t>所要時間</t>
    <rPh sb="0" eb="2">
      <t>ショヨウ</t>
    </rPh>
    <rPh sb="2" eb="4">
      <t>ジカン</t>
    </rPh>
    <phoneticPr fontId="1"/>
  </si>
  <si>
    <t xml:space="preserve">空港 発  13:00～              </t>
    <rPh sb="0" eb="2">
      <t>クウコウ</t>
    </rPh>
    <rPh sb="3" eb="4">
      <t>ハッ</t>
    </rPh>
    <phoneticPr fontId="1"/>
  </si>
  <si>
    <t>10-１　12:57-14:47</t>
    <phoneticPr fontId="1"/>
  </si>
  <si>
    <t>２-１　5:45-7:45</t>
    <phoneticPr fontId="1"/>
  </si>
  <si>
    <t xml:space="preserve">２-１                          </t>
    <phoneticPr fontId="1"/>
  </si>
  <si>
    <t>３-２　6:13-8:00(回送行)</t>
    <phoneticPr fontId="1"/>
  </si>
  <si>
    <t>８-４　16:57-18:38</t>
    <phoneticPr fontId="1"/>
  </si>
  <si>
    <t xml:space="preserve">空港 発 [リスト外1]             </t>
    <rPh sb="0" eb="2">
      <t>クウコウ</t>
    </rPh>
    <rPh sb="8" eb="9">
      <t>ソト</t>
    </rPh>
    <phoneticPr fontId="1"/>
  </si>
  <si>
    <t xml:space="preserve">空港 発 [リスト外2]             </t>
    <rPh sb="9" eb="10">
      <t>ソト</t>
    </rPh>
    <phoneticPr fontId="1"/>
  </si>
  <si>
    <t xml:space="preserve">附属 中　8:00(駅発)                        </t>
    <rPh sb="0" eb="1">
      <t>フゾク</t>
    </rPh>
    <rPh sb="3" eb="4">
      <t>ナカ</t>
    </rPh>
    <rPh sb="10" eb="12">
      <t>エキハツ</t>
    </rPh>
    <phoneticPr fontId="1"/>
  </si>
  <si>
    <t xml:space="preserve">附属 中　16:05-              </t>
    <rPh sb="1" eb="2">
      <t>ナカ</t>
    </rPh>
    <phoneticPr fontId="1"/>
  </si>
  <si>
    <t xml:space="preserve">附属 中　17:20-             </t>
    <rPh sb="1" eb="2">
      <t>ナカ</t>
    </rPh>
    <phoneticPr fontId="1"/>
  </si>
  <si>
    <t xml:space="preserve">附属 中　16:05/17:20         </t>
    <rPh sb="0" eb="1">
      <t>フゾク</t>
    </rPh>
    <rPh sb="3" eb="4">
      <t>ナカ</t>
    </rPh>
    <phoneticPr fontId="1"/>
  </si>
  <si>
    <t xml:space="preserve">附属 中　[リスト外1]             </t>
    <rPh sb="0" eb="2">
      <t>フゾク</t>
    </rPh>
    <rPh sb="3" eb="4">
      <t>ナカ</t>
    </rPh>
    <rPh sb="9" eb="10">
      <t>ソト</t>
    </rPh>
    <phoneticPr fontId="1"/>
  </si>
  <si>
    <t xml:space="preserve">附属 中　[リスト外2]             </t>
    <rPh sb="0" eb="2">
      <t>フゾク</t>
    </rPh>
    <rPh sb="3" eb="4">
      <t>ナカ</t>
    </rPh>
    <rPh sb="9" eb="10">
      <t>ソト</t>
    </rPh>
    <phoneticPr fontId="1"/>
  </si>
  <si>
    <t xml:space="preserve">夕夜 景 18:01～                </t>
    <rPh sb="0" eb="1">
      <t>ユウ</t>
    </rPh>
    <rPh sb="1" eb="2">
      <t>ヨル</t>
    </rPh>
    <rPh sb="3" eb="4">
      <t>ケイ</t>
    </rPh>
    <phoneticPr fontId="1"/>
  </si>
  <si>
    <t>泉谷　 優</t>
    <rPh sb="0" eb="2">
      <t>イズミタニ</t>
    </rPh>
    <rPh sb="4" eb="5">
      <t>ユウ</t>
    </rPh>
    <phoneticPr fontId="1"/>
  </si>
  <si>
    <t>山口　忠春</t>
    <rPh sb="0" eb="2">
      <t>ヤマグチ</t>
    </rPh>
    <rPh sb="3" eb="5">
      <t>タダハル</t>
    </rPh>
    <phoneticPr fontId="1"/>
  </si>
  <si>
    <t xml:space="preserve">附属 中　16:20/17:20         </t>
    <rPh sb="0" eb="1">
      <t>フゾク</t>
    </rPh>
    <rPh sb="3" eb="4">
      <t>ナカ</t>
    </rPh>
    <phoneticPr fontId="1"/>
  </si>
  <si>
    <t>花田　美也</t>
    <rPh sb="0" eb="2">
      <t>ハナダ</t>
    </rPh>
    <rPh sb="3" eb="5">
      <t>ミヤ</t>
    </rPh>
    <phoneticPr fontId="1"/>
  </si>
  <si>
    <t>５-１　20:22-21:35(回送戻)</t>
    <phoneticPr fontId="1"/>
  </si>
  <si>
    <t xml:space="preserve">はみ １　9:29-17:11           </t>
    <phoneticPr fontId="1"/>
  </si>
  <si>
    <t>1050</t>
  </si>
  <si>
    <t>1037</t>
  </si>
  <si>
    <t>1087</t>
  </si>
  <si>
    <t>1025     1061     1088</t>
  </si>
  <si>
    <t>1023     1066</t>
  </si>
  <si>
    <t>３-３　6:24-8:15</t>
    <phoneticPr fontId="1"/>
  </si>
  <si>
    <t>６-１　16:32-18:19</t>
    <phoneticPr fontId="1"/>
  </si>
  <si>
    <t>６-３　9:04-10:53</t>
    <phoneticPr fontId="1"/>
  </si>
  <si>
    <t>６-３　15:25-17:15</t>
    <phoneticPr fontId="1"/>
  </si>
  <si>
    <t>11:13</t>
    <phoneticPr fontId="1"/>
  </si>
  <si>
    <t>６-４　10:27-12:07</t>
    <phoneticPr fontId="1"/>
  </si>
  <si>
    <t>７-１　7:32-9:25</t>
    <phoneticPr fontId="1"/>
  </si>
  <si>
    <t>７-４　14:25-16:14</t>
    <phoneticPr fontId="1"/>
  </si>
  <si>
    <t>８-３　6:48-8:41</t>
    <phoneticPr fontId="1"/>
  </si>
  <si>
    <t>９-１　6:39-8:54</t>
    <phoneticPr fontId="1"/>
  </si>
  <si>
    <t>３-３　11:50-13:39</t>
    <phoneticPr fontId="1"/>
  </si>
  <si>
    <t>６-４　6:14-8:27</t>
    <phoneticPr fontId="1"/>
  </si>
  <si>
    <t>８-３　18:43-20:42</t>
    <phoneticPr fontId="1"/>
  </si>
  <si>
    <t xml:space="preserve">空港 発  14:45～              </t>
    <rPh sb="0" eb="2">
      <t>クウコウ</t>
    </rPh>
    <rPh sb="3" eb="4">
      <t>ハッ</t>
    </rPh>
    <phoneticPr fontId="1"/>
  </si>
  <si>
    <t xml:space="preserve">空港 発  18:55～              </t>
    <rPh sb="0" eb="2">
      <t>クウコウ</t>
    </rPh>
    <rPh sb="3" eb="4">
      <t>ハッ</t>
    </rPh>
    <phoneticPr fontId="1"/>
  </si>
  <si>
    <t xml:space="preserve">空港 発  21:40～              </t>
    <rPh sb="0" eb="2">
      <t>クウコウ</t>
    </rPh>
    <rPh sb="3" eb="4">
      <t>ハッ</t>
    </rPh>
    <phoneticPr fontId="1"/>
  </si>
  <si>
    <t>石川　浩士</t>
    <rPh sb="0" eb="2">
      <t>イシカワ</t>
    </rPh>
    <rPh sb="3" eb="5">
      <t>ヒロシ</t>
    </rPh>
    <phoneticPr fontId="1"/>
  </si>
  <si>
    <t xml:space="preserve">空港 発  11:30～              </t>
    <rPh sb="0" eb="2">
      <t>クウコウ</t>
    </rPh>
    <rPh sb="3" eb="4">
      <t>ハッ</t>
    </rPh>
    <phoneticPr fontId="1"/>
  </si>
  <si>
    <t xml:space="preserve">空港 発  16:30～              </t>
    <rPh sb="0" eb="2">
      <t>クウコウ</t>
    </rPh>
    <rPh sb="3" eb="4">
      <t>ハッ</t>
    </rPh>
    <phoneticPr fontId="1"/>
  </si>
  <si>
    <t xml:space="preserve">R-19                      </t>
    <phoneticPr fontId="1"/>
  </si>
  <si>
    <t>令和7年(2025年)</t>
    <rPh sb="3" eb="4">
      <t>ネン</t>
    </rPh>
    <phoneticPr fontId="1"/>
  </si>
  <si>
    <t>水</t>
    <rPh sb="0" eb="1">
      <t>スイ</t>
    </rPh>
    <phoneticPr fontId="1"/>
  </si>
  <si>
    <t>月</t>
    <rPh sb="0" eb="1">
      <t>ツキ</t>
    </rPh>
    <phoneticPr fontId="1"/>
  </si>
  <si>
    <t>成人の日</t>
    <rPh sb="0" eb="2">
      <t>セイジン</t>
    </rPh>
    <rPh sb="3" eb="4">
      <t>ヒ</t>
    </rPh>
    <phoneticPr fontId="1"/>
  </si>
  <si>
    <t>火</t>
    <rPh sb="0" eb="1">
      <t>カ</t>
    </rPh>
    <phoneticPr fontId="1"/>
  </si>
  <si>
    <t>建国記念日</t>
    <rPh sb="0" eb="2">
      <t>ケンコク</t>
    </rPh>
    <rPh sb="2" eb="5">
      <t>キネンビ</t>
    </rPh>
    <phoneticPr fontId="1"/>
  </si>
  <si>
    <t>日</t>
    <rPh sb="0" eb="1">
      <t>ヒ</t>
    </rPh>
    <phoneticPr fontId="1"/>
  </si>
  <si>
    <t>天皇誕生日</t>
    <rPh sb="0" eb="2">
      <t>テンノウ</t>
    </rPh>
    <rPh sb="2" eb="5">
      <t>タンジョウビ</t>
    </rPh>
    <phoneticPr fontId="1"/>
  </si>
  <si>
    <t>木</t>
    <rPh sb="0" eb="1">
      <t>キ</t>
    </rPh>
    <phoneticPr fontId="1"/>
  </si>
  <si>
    <t>土</t>
    <rPh sb="0" eb="1">
      <t>ド</t>
    </rPh>
    <phoneticPr fontId="1"/>
  </si>
  <si>
    <t>海の日</t>
    <rPh sb="0" eb="1">
      <t>ウミ</t>
    </rPh>
    <rPh sb="2" eb="3">
      <t>ヒ</t>
    </rPh>
    <phoneticPr fontId="1"/>
  </si>
  <si>
    <t>山の日</t>
    <rPh sb="0" eb="1">
      <t>ヤマ</t>
    </rPh>
    <rPh sb="2" eb="3">
      <t>ヒ</t>
    </rPh>
    <phoneticPr fontId="1"/>
  </si>
  <si>
    <t>お盆休み</t>
    <rPh sb="1" eb="2">
      <t>ボン</t>
    </rPh>
    <rPh sb="2" eb="3">
      <t>ヤス</t>
    </rPh>
    <phoneticPr fontId="1"/>
  </si>
  <si>
    <t>敬老の日</t>
    <rPh sb="0" eb="2">
      <t>ケイロウ</t>
    </rPh>
    <rPh sb="3" eb="4">
      <t>ヒ</t>
    </rPh>
    <phoneticPr fontId="1"/>
  </si>
  <si>
    <t>スポーツの日</t>
    <rPh sb="5" eb="6">
      <t>ヒ</t>
    </rPh>
    <phoneticPr fontId="1"/>
  </si>
  <si>
    <t>文化の日</t>
    <rPh sb="0" eb="2">
      <t>ブンカ</t>
    </rPh>
    <rPh sb="3" eb="4">
      <t>ヒ</t>
    </rPh>
    <phoneticPr fontId="1"/>
  </si>
  <si>
    <t xml:space="preserve">R-20                      </t>
    <phoneticPr fontId="1"/>
  </si>
  <si>
    <t>竹地　晃一</t>
    <rPh sb="0" eb="2">
      <t>タケチ</t>
    </rPh>
    <rPh sb="3" eb="5">
      <t>コウイチ</t>
    </rPh>
    <phoneticPr fontId="1"/>
  </si>
  <si>
    <t>綱島　千敏</t>
    <rPh sb="0" eb="2">
      <t>ツナジマ</t>
    </rPh>
    <rPh sb="3" eb="5">
      <t>チトシ</t>
    </rPh>
    <phoneticPr fontId="1"/>
  </si>
  <si>
    <t>１-１　9:03-10:20</t>
    <phoneticPr fontId="1"/>
  </si>
  <si>
    <t>1050</t>
    <phoneticPr fontId="1"/>
  </si>
  <si>
    <t>1588     1050     1015</t>
    <phoneticPr fontId="1"/>
  </si>
  <si>
    <t>１-２　9:11-10:28</t>
    <phoneticPr fontId="1"/>
  </si>
  <si>
    <t>1015     1061</t>
    <phoneticPr fontId="1"/>
  </si>
  <si>
    <t>１-９　11:43-13:00</t>
    <phoneticPr fontId="1"/>
  </si>
  <si>
    <t>１-９　13:43-16:20</t>
    <phoneticPr fontId="1"/>
  </si>
  <si>
    <t>１-９　18:30-19:31</t>
    <phoneticPr fontId="1"/>
  </si>
  <si>
    <t>1063      1588     1050    1061</t>
    <phoneticPr fontId="1"/>
  </si>
  <si>
    <t xml:space="preserve">１- 10                      </t>
    <phoneticPr fontId="1"/>
  </si>
  <si>
    <t>1060</t>
    <phoneticPr fontId="1"/>
  </si>
  <si>
    <t>３-４　11:51-13:08</t>
    <phoneticPr fontId="1"/>
  </si>
  <si>
    <t>４-４　10:31-11:48</t>
    <phoneticPr fontId="1"/>
  </si>
  <si>
    <t>６-１　13:03-14:20</t>
    <phoneticPr fontId="1"/>
  </si>
  <si>
    <t>９-１　10:23-11:40</t>
    <phoneticPr fontId="1"/>
  </si>
  <si>
    <t>はみ ２　7:18-9:08</t>
    <phoneticPr fontId="1"/>
  </si>
  <si>
    <t>はみ ２　9:51-11:08</t>
    <phoneticPr fontId="1"/>
  </si>
  <si>
    <t>はみ ２　13:11-14:28</t>
    <phoneticPr fontId="1"/>
  </si>
  <si>
    <t>1060     1061</t>
    <phoneticPr fontId="1"/>
  </si>
  <si>
    <t xml:space="preserve">循環 10                    </t>
    <phoneticPr fontId="1"/>
  </si>
  <si>
    <t>はみ ２　16:23-19:15</t>
    <phoneticPr fontId="1"/>
  </si>
  <si>
    <t>２-２　19:45-22:40</t>
    <phoneticPr fontId="1"/>
  </si>
  <si>
    <t>２-２　20:50-22:40</t>
    <phoneticPr fontId="1"/>
  </si>
  <si>
    <t>１-１　12:23-13:40</t>
    <phoneticPr fontId="1"/>
  </si>
  <si>
    <t>１-１　15:51-18:28</t>
    <phoneticPr fontId="1"/>
  </si>
  <si>
    <t>１-１ (休) 15:51-18:12</t>
    <rPh sb="4" eb="5">
      <t>キュウ</t>
    </rPh>
    <phoneticPr fontId="1"/>
  </si>
  <si>
    <t>１-１  19:20-20:44</t>
    <phoneticPr fontId="1"/>
  </si>
  <si>
    <t>１-１　19:20-21:34(回送戻)</t>
    <rPh sb="15" eb="17">
      <t>カイソウ</t>
    </rPh>
    <rPh sb="17" eb="18">
      <t>モドリ</t>
    </rPh>
    <phoneticPr fontId="1"/>
  </si>
  <si>
    <t>１-２　6:54-8:25</t>
  </si>
  <si>
    <t>１-２　5:46-8:25(回送行)</t>
  </si>
  <si>
    <t>１-３　7:35-10:15</t>
    <phoneticPr fontId="1"/>
  </si>
  <si>
    <t>１-３ (休) 8:16-9:48</t>
    <phoneticPr fontId="1"/>
  </si>
  <si>
    <t>１-３ (休) 11:11-12:28</t>
    <phoneticPr fontId="1"/>
  </si>
  <si>
    <t>１-３ (休) 14:31-15:48</t>
    <phoneticPr fontId="1"/>
  </si>
  <si>
    <t>１-３ (休) 16:31-18:51</t>
    <phoneticPr fontId="1"/>
  </si>
  <si>
    <t>１-５　7:25-10:05</t>
    <phoneticPr fontId="1"/>
  </si>
  <si>
    <t>１-５ (休) 7:35-9:38</t>
    <phoneticPr fontId="1"/>
  </si>
  <si>
    <t>１-５ (休) 10:04-12:38</t>
    <phoneticPr fontId="1"/>
  </si>
  <si>
    <t>507     508</t>
    <phoneticPr fontId="1"/>
  </si>
  <si>
    <t>１-５ (休) 14:04-14:58</t>
    <phoneticPr fontId="1"/>
  </si>
  <si>
    <t>508</t>
    <phoneticPr fontId="1"/>
  </si>
  <si>
    <t>１-７　11:35-12:45</t>
    <phoneticPr fontId="1"/>
  </si>
  <si>
    <t>１-７ (休) 11:35-12:45</t>
    <rPh sb="5" eb="6">
      <t>キュウ</t>
    </rPh>
    <phoneticPr fontId="1"/>
  </si>
  <si>
    <t>１-７ (休) 13:55-15:05</t>
    <rPh sb="5" eb="6">
      <t>キュウ</t>
    </rPh>
    <phoneticPr fontId="1"/>
  </si>
  <si>
    <t>1037</t>
    <phoneticPr fontId="1"/>
  </si>
  <si>
    <t>１-７ (休) 15:45-16:55</t>
    <rPh sb="5" eb="6">
      <t>キュウ</t>
    </rPh>
    <phoneticPr fontId="1"/>
  </si>
  <si>
    <t>１-７ (休) 18:40-19:55</t>
    <rPh sb="5" eb="6">
      <t>キュウ</t>
    </rPh>
    <phoneticPr fontId="1"/>
  </si>
  <si>
    <t>１-８　6:53-9:48</t>
    <phoneticPr fontId="1"/>
  </si>
  <si>
    <t>１-８　11:11-12:28</t>
    <phoneticPr fontId="1"/>
  </si>
  <si>
    <t>１-８　14:31-15:48</t>
    <phoneticPr fontId="1"/>
  </si>
  <si>
    <t>１-８　16:31-18:51</t>
    <phoneticPr fontId="1"/>
  </si>
  <si>
    <t>１- 10　7:19-8:56(回送戻)</t>
    <phoneticPr fontId="1"/>
  </si>
  <si>
    <t>１- 10　10:34-11:59(往復回送)</t>
    <rPh sb="18" eb="20">
      <t>オウフク</t>
    </rPh>
    <phoneticPr fontId="1"/>
  </si>
  <si>
    <t>１- 10　16:18-19:13(回送行)</t>
    <rPh sb="18" eb="20">
      <t>カイソウ</t>
    </rPh>
    <rPh sb="20" eb="21">
      <t>イ</t>
    </rPh>
    <phoneticPr fontId="1"/>
  </si>
  <si>
    <t>３-１　8:05-9:57</t>
    <phoneticPr fontId="1"/>
  </si>
  <si>
    <t>３-１　11:43-13:18</t>
    <phoneticPr fontId="1"/>
  </si>
  <si>
    <t>３-１　14:27-16:48</t>
    <phoneticPr fontId="1"/>
  </si>
  <si>
    <t>1087</t>
    <phoneticPr fontId="1"/>
  </si>
  <si>
    <t>３-１　17:30-19:17</t>
    <phoneticPr fontId="1"/>
  </si>
  <si>
    <t>３-１　20:35-21:31</t>
    <phoneticPr fontId="1"/>
  </si>
  <si>
    <t>３-１　20:35-22:06(回送戻)</t>
    <phoneticPr fontId="1"/>
  </si>
  <si>
    <t xml:space="preserve">３-１　全部+回送戻                 </t>
    <phoneticPr fontId="1"/>
  </si>
  <si>
    <t>1020     1087</t>
    <phoneticPr fontId="1"/>
  </si>
  <si>
    <t>３-２　6:57-8:10</t>
    <phoneticPr fontId="1"/>
  </si>
  <si>
    <t>３-２　9:16-11:12</t>
    <phoneticPr fontId="1"/>
  </si>
  <si>
    <t>３-３　15:14-16:46</t>
    <phoneticPr fontId="1"/>
  </si>
  <si>
    <t>３-４　6:18-8:28</t>
    <phoneticPr fontId="1"/>
  </si>
  <si>
    <t>３-４　14:44-17:00</t>
    <phoneticPr fontId="1"/>
  </si>
  <si>
    <t>1022    1061    1067</t>
    <phoneticPr fontId="1"/>
  </si>
  <si>
    <t>３-５　8:12-10:38</t>
    <phoneticPr fontId="1"/>
  </si>
  <si>
    <t>４-１　7:16-9:34</t>
    <phoneticPr fontId="1"/>
  </si>
  <si>
    <t>４-１　11:08-12:28</t>
    <phoneticPr fontId="1"/>
  </si>
  <si>
    <t>４-１　16:56-19:06</t>
    <phoneticPr fontId="1"/>
  </si>
  <si>
    <t>４-１　19:44-20:41</t>
    <phoneticPr fontId="1"/>
  </si>
  <si>
    <t>４-１　19:44-21:16(回送戻)</t>
    <phoneticPr fontId="1"/>
  </si>
  <si>
    <t>1007     1086</t>
    <phoneticPr fontId="1"/>
  </si>
  <si>
    <t>４-２　6:51-8:00</t>
    <phoneticPr fontId="1"/>
  </si>
  <si>
    <t>４-２　8:45-10:58</t>
    <phoneticPr fontId="1"/>
  </si>
  <si>
    <t>４-３　14:45-16:58</t>
    <phoneticPr fontId="1"/>
  </si>
  <si>
    <t>14:22</t>
    <phoneticPr fontId="1"/>
  </si>
  <si>
    <t>４-４　13:52-15:57</t>
    <phoneticPr fontId="1"/>
  </si>
  <si>
    <t>４-４　17:10-19:17</t>
    <phoneticPr fontId="1"/>
  </si>
  <si>
    <t>４-４　20:27-21:28</t>
    <phoneticPr fontId="1"/>
  </si>
  <si>
    <t>４-４　20:27-22:03(回送戻)</t>
    <phoneticPr fontId="1"/>
  </si>
  <si>
    <t>４-５　7:18-8:35</t>
    <phoneticPr fontId="1"/>
  </si>
  <si>
    <t>４-５　9:57-12:06</t>
    <phoneticPr fontId="1"/>
  </si>
  <si>
    <t>５-１　11:57-13:47</t>
    <phoneticPr fontId="1"/>
  </si>
  <si>
    <t>５-１　15:10-16:31</t>
    <phoneticPr fontId="1"/>
  </si>
  <si>
    <t>５-３　7:20-9:20</t>
    <phoneticPr fontId="1"/>
  </si>
  <si>
    <t>５-３　12:37-14:46</t>
    <phoneticPr fontId="1"/>
  </si>
  <si>
    <t>５-３　18:18-19:53</t>
    <phoneticPr fontId="1"/>
  </si>
  <si>
    <t>５-４　6:44-8:24</t>
    <phoneticPr fontId="1"/>
  </si>
  <si>
    <t>５-４　10:14-11:31</t>
    <phoneticPr fontId="1"/>
  </si>
  <si>
    <t>５-４　18:46-20:20</t>
    <phoneticPr fontId="1"/>
  </si>
  <si>
    <t>６-１　6:31-8:17</t>
    <phoneticPr fontId="1"/>
  </si>
  <si>
    <t>６-２　8:25-9:54</t>
    <phoneticPr fontId="1"/>
  </si>
  <si>
    <t>６-３　6:06-8:14</t>
    <phoneticPr fontId="1"/>
  </si>
  <si>
    <t>６-４　13:14-14:31</t>
    <phoneticPr fontId="1"/>
  </si>
  <si>
    <t>６-５　8:55-10:47</t>
    <phoneticPr fontId="1"/>
  </si>
  <si>
    <t>７-１　12:22-14:32</t>
    <phoneticPr fontId="1"/>
  </si>
  <si>
    <t>７-１　18:14-19:37</t>
    <phoneticPr fontId="1"/>
  </si>
  <si>
    <t>７-３　6:45-9:09</t>
    <phoneticPr fontId="1"/>
  </si>
  <si>
    <t>７-３　11:53-13:31</t>
    <phoneticPr fontId="1"/>
  </si>
  <si>
    <t>７-３　15:43-17:00</t>
    <phoneticPr fontId="1"/>
  </si>
  <si>
    <t>７-３　18:08-20:47</t>
    <phoneticPr fontId="1"/>
  </si>
  <si>
    <t>７-３ (休) 18:50-20:47</t>
    <rPh sb="5" eb="6">
      <t>キュウ</t>
    </rPh>
    <phoneticPr fontId="1"/>
  </si>
  <si>
    <t>７-４　6:40-8:25</t>
    <phoneticPr fontId="1"/>
  </si>
  <si>
    <t>７-４　10:36-13:26</t>
    <phoneticPr fontId="1"/>
  </si>
  <si>
    <t>８-１　8:15-10:02</t>
    <phoneticPr fontId="1"/>
  </si>
  <si>
    <t>８-１　11:54-13:28</t>
    <phoneticPr fontId="1"/>
  </si>
  <si>
    <t>８-１　14:08-15:31</t>
    <phoneticPr fontId="1"/>
  </si>
  <si>
    <t>８-２　9:43-11:00</t>
    <phoneticPr fontId="1"/>
  </si>
  <si>
    <t>428     1050</t>
    <phoneticPr fontId="1"/>
  </si>
  <si>
    <t>８-３　10:22-12:32</t>
    <phoneticPr fontId="1"/>
  </si>
  <si>
    <t>８-３　15:48-18:02</t>
    <phoneticPr fontId="1"/>
  </si>
  <si>
    <t>18;02</t>
    <phoneticPr fontId="1"/>
  </si>
  <si>
    <t>８-４　7:44-8:35</t>
    <phoneticPr fontId="1"/>
  </si>
  <si>
    <t>８-４　11:03-12:20</t>
    <phoneticPr fontId="1"/>
  </si>
  <si>
    <t>８-４　13:05-14:45</t>
    <phoneticPr fontId="1"/>
  </si>
  <si>
    <t>８-５　6:47-7:38</t>
    <phoneticPr fontId="1"/>
  </si>
  <si>
    <t>８-５　6:29-7:38(回送行)</t>
    <phoneticPr fontId="1"/>
  </si>
  <si>
    <t>８-５　8:03-9:57</t>
    <phoneticPr fontId="1"/>
  </si>
  <si>
    <t>９-１　16:30-18:44</t>
    <phoneticPr fontId="1"/>
  </si>
  <si>
    <t>９-１　19:18-20:11</t>
    <phoneticPr fontId="1"/>
  </si>
  <si>
    <t>９-１　19:18-20:46(回送戻)</t>
    <phoneticPr fontId="1"/>
  </si>
  <si>
    <t>９-２　7:52-8:07</t>
    <phoneticPr fontId="1"/>
  </si>
  <si>
    <t>９-３　11:14-12:31</t>
    <phoneticPr fontId="1"/>
  </si>
  <si>
    <t>９-３　14:00-15:58</t>
    <phoneticPr fontId="1"/>
  </si>
  <si>
    <t>９-３　17:02-20:01</t>
    <phoneticPr fontId="1"/>
  </si>
  <si>
    <t>９-４　6:42-9:22</t>
    <phoneticPr fontId="1"/>
  </si>
  <si>
    <t>2:45</t>
    <phoneticPr fontId="1"/>
  </si>
  <si>
    <t>2:53</t>
    <phoneticPr fontId="1"/>
  </si>
  <si>
    <t>９-４　11:45-13:59</t>
    <phoneticPr fontId="1"/>
  </si>
  <si>
    <t>９-４　15:43-17:16</t>
    <phoneticPr fontId="1"/>
  </si>
  <si>
    <t>10-１　7:05-9:51</t>
    <phoneticPr fontId="1"/>
  </si>
  <si>
    <t>10-１　15:56-18:34</t>
    <phoneticPr fontId="1"/>
  </si>
  <si>
    <t>10-３　7:14-9:40</t>
    <phoneticPr fontId="1"/>
  </si>
  <si>
    <t>10-３　13:51-16:28</t>
    <phoneticPr fontId="1"/>
  </si>
  <si>
    <t>10-３　17:27-19:57</t>
    <phoneticPr fontId="1"/>
  </si>
  <si>
    <t>10-３ (休) 8:40-9:40</t>
    <rPh sb="6" eb="7">
      <t>キュウ</t>
    </rPh>
    <phoneticPr fontId="1"/>
  </si>
  <si>
    <t>10-３ (休) 13:43-16:20</t>
    <phoneticPr fontId="1"/>
  </si>
  <si>
    <t>10-３ (休) 17:03-18:36</t>
    <phoneticPr fontId="1"/>
  </si>
  <si>
    <t>10-４　7:37-9:13</t>
    <phoneticPr fontId="1"/>
  </si>
  <si>
    <t>1023</t>
    <phoneticPr fontId="1"/>
  </si>
  <si>
    <t>10-４　20:18-21:08</t>
    <phoneticPr fontId="1"/>
  </si>
  <si>
    <t>10-４　20:18-21:43(回送戻)</t>
    <phoneticPr fontId="1"/>
  </si>
  <si>
    <t>10-５　9:12-10:31</t>
    <phoneticPr fontId="1"/>
  </si>
  <si>
    <t>はみ ２ (休) 8:00-9:00</t>
    <rPh sb="6" eb="7">
      <t>ヤス</t>
    </rPh>
    <phoneticPr fontId="1"/>
  </si>
  <si>
    <t>はみ ２ (休) 9:51-11:08</t>
    <phoneticPr fontId="1"/>
  </si>
  <si>
    <t>はみ ２ (休) 13:11-14:28</t>
    <phoneticPr fontId="1"/>
  </si>
  <si>
    <t>はみ ２ (休) 15:11-16:28</t>
    <phoneticPr fontId="1"/>
  </si>
  <si>
    <t>２-１　17:40-19:48</t>
  </si>
  <si>
    <t>２-２　15:25-17:43</t>
  </si>
  <si>
    <t>２-３　17:43-19:48</t>
  </si>
  <si>
    <t>２-４　15:22-17:43</t>
  </si>
  <si>
    <t>２-４　18:23-21:00</t>
  </si>
  <si>
    <t>２-６　15:28-17:33</t>
  </si>
  <si>
    <t>本    社</t>
  </si>
  <si>
    <t xml:space="preserve">  </t>
  </si>
  <si>
    <t xml:space="preserve">R-21                      </t>
  </si>
  <si>
    <t>湊　日出雄</t>
    <rPh sb="0" eb="1">
      <t>ミナト</t>
    </rPh>
    <rPh sb="2" eb="3">
      <t>ヒ</t>
    </rPh>
    <rPh sb="3" eb="4">
      <t>デ</t>
    </rPh>
    <rPh sb="4" eb="5">
      <t>オ</t>
    </rPh>
    <phoneticPr fontId="1"/>
  </si>
  <si>
    <t>２-１　5:45-9:20</t>
    <phoneticPr fontId="1"/>
  </si>
  <si>
    <t>２-１　9:48-12:10</t>
    <phoneticPr fontId="1"/>
  </si>
  <si>
    <t>２-１　13:43-16:00</t>
    <phoneticPr fontId="1"/>
  </si>
  <si>
    <t>２-２　11:27-13:45</t>
    <phoneticPr fontId="1"/>
  </si>
  <si>
    <t>２-３　9:45-12:10</t>
    <phoneticPr fontId="1"/>
  </si>
  <si>
    <t>２-３　13:46-16:00</t>
    <phoneticPr fontId="1"/>
  </si>
  <si>
    <t>２-４　7:58-10:15</t>
    <phoneticPr fontId="1"/>
  </si>
  <si>
    <t>２-４　11:30-13:55</t>
    <phoneticPr fontId="1"/>
  </si>
  <si>
    <t>２-６　7:55-10:05</t>
    <phoneticPr fontId="1"/>
  </si>
  <si>
    <t>２-６　11:33-13:55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</si>
</sst>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m/d;@"/>
    <numFmt numFmtId="177" formatCode="[$-F800]dddd\,\ mmmm\ dd\,\ yyyy"/>
    <numFmt numFmtId="178" formatCode="h:mm;@"/>
    <numFmt numFmtId="179" formatCode="0.0_ "/>
    <numFmt numFmtId="180" formatCode="0.0_);[Red]\(0.0\)"/>
    <numFmt numFmtId="181" formatCode="aaa"/>
    <numFmt numFmtId="182" formatCode="yyyy/m/d;@"/>
  </numFmts>
  <fonts count="32">
    <font>
      <sz val="11"/>
      <color theme="1"/>
      <name val="ＭＳ Ｐゴシック"/>
      <family val="2"/>
      <charset val="128"/>
      <scheme val="minor"/>
    </font>
    <font>
      <sz val="6"/>
      <name val="ＭＳ Ｐゴシック"/>
      <family val="2"/>
      <charset val="128"/>
      <scheme val="minor"/>
    </font>
    <font>
      <i/>
      <sz val="11"/>
      <color theme="1"/>
      <name val="HGP楷書体"/>
      <family val="4"/>
      <charset val="128"/>
    </font>
    <font>
      <i/>
      <sz val="12"/>
      <color theme="1"/>
      <name val="HGP楷書体"/>
      <family val="4"/>
      <charset val="128"/>
    </font>
    <font>
      <b/>
      <sz val="11"/>
      <color theme="0"/>
      <name val="ＭＳ Ｐゴシック"/>
      <family val="2"/>
      <charset val="128"/>
      <scheme val="minor"/>
    </font>
    <font>
      <sz val="10"/>
      <color theme="1"/>
      <name val="Arial Unicode MS"/>
      <family val="2"/>
    </font>
    <font>
      <sz val="10"/>
      <color theme="1"/>
      <name val="ＭＳ Ｐゴシック"/>
      <family val="2"/>
      <charset val="128"/>
    </font>
    <font>
      <sz val="11"/>
      <color theme="1"/>
      <name val="ＭＳ Ｐゴシック"/>
      <family val="3"/>
      <charset val="128"/>
    </font>
    <font>
      <sz val="12"/>
      <color theme="1"/>
      <name val="HGP楷書体"/>
      <family val="4"/>
      <charset val="128"/>
    </font>
    <font>
      <sz val="11"/>
      <color theme="1"/>
      <name val="HGP楷書体"/>
      <family val="4"/>
      <charset val="128"/>
    </font>
    <font>
      <b/>
      <sz val="13.5"/>
      <color theme="1"/>
      <name val="ＭＳ Ｐゴシック"/>
      <family val="3"/>
      <charset val="128"/>
      <scheme val="minor"/>
    </font>
    <font>
      <sz val="11"/>
      <color theme="1"/>
      <name val="ＭＳ Ｐ明朝"/>
      <family val="1"/>
      <charset val="128"/>
    </font>
    <font>
      <sz val="12"/>
      <color theme="1"/>
      <name val="ＭＳ Ｐ明朝"/>
      <family val="1"/>
      <charset val="128"/>
    </font>
    <font>
      <sz val="11"/>
      <color rgb="FFFF0000"/>
      <name val="ＭＳ Ｐゴシック"/>
      <family val="2"/>
      <charset val="128"/>
      <scheme val="minor"/>
    </font>
    <font>
      <b/>
      <sz val="11"/>
      <color theme="1"/>
      <name val="ＭＳ Ｐゴシック"/>
      <family val="2"/>
      <charset val="128"/>
      <scheme val="minor"/>
    </font>
    <font>
      <sz val="8"/>
      <color theme="1"/>
      <name val="ＭＳ Ｐゴシック"/>
      <family val="2"/>
      <charset val="128"/>
      <scheme val="minor"/>
    </font>
    <font>
      <i/>
      <sz val="11"/>
      <color theme="0"/>
      <name val="HGP楷書体"/>
      <family val="4"/>
      <charset val="128"/>
    </font>
    <font>
      <i/>
      <sz val="11"/>
      <name val="HGP楷書体"/>
      <family val="4"/>
      <charset val="128"/>
    </font>
    <font>
      <sz val="11"/>
      <color rgb="FFFF0000"/>
      <name val="ＭＳ Ｐゴシック"/>
      <family val="3"/>
      <charset val="128"/>
      <scheme val="minor"/>
    </font>
    <font>
      <b/>
      <sz val="18"/>
      <color rgb="FFFF0000"/>
      <name val="ＭＳ Ｐ明朝"/>
      <family val="1"/>
      <charset val="128"/>
    </font>
    <font>
      <i/>
      <sz val="11"/>
      <color theme="1"/>
      <name val="ＭＳ Ｐ明朝"/>
      <family val="1"/>
      <charset val="128"/>
    </font>
    <font>
      <i/>
      <sz val="12"/>
      <color theme="1"/>
      <name val="ＭＳ Ｐ明朝"/>
      <family val="1"/>
      <charset val="128"/>
    </font>
    <font>
      <i/>
      <sz val="18"/>
      <color theme="1"/>
      <name val="ＭＳ Ｐ明朝"/>
      <family val="1"/>
      <charset val="128"/>
    </font>
    <font>
      <i/>
      <sz val="14"/>
      <color theme="1"/>
      <name val="ＭＳ Ｐ明朝"/>
      <family val="1"/>
      <charset val="128"/>
    </font>
    <font>
      <i/>
      <sz val="10"/>
      <color theme="1"/>
      <name val="ＭＳ Ｐ明朝"/>
      <family val="1"/>
      <charset val="128"/>
    </font>
    <font>
      <i/>
      <sz val="9"/>
      <color theme="1"/>
      <name val="ＭＳ Ｐ明朝"/>
      <family val="1"/>
      <charset val="128"/>
    </font>
    <font>
      <b/>
      <sz val="16"/>
      <color rgb="FFFF0000"/>
      <name val="ＭＳ Ｐ明朝"/>
      <family val="1"/>
      <charset val="128"/>
    </font>
    <font>
      <i/>
      <sz val="13"/>
      <color theme="1"/>
      <name val="ＭＳ Ｐ明朝"/>
      <family val="1"/>
      <charset val="128"/>
    </font>
    <font>
      <i/>
      <sz val="11"/>
      <color rgb="FFFF0000"/>
      <name val="HGP楷書体"/>
      <family val="4"/>
      <charset val="128"/>
    </font>
    <font>
      <sz val="11"/>
      <color rgb="FFFF0000"/>
      <name val="ＭＳ Ｐ明朝"/>
      <family val="1"/>
      <charset val="128"/>
    </font>
    <font>
      <i/>
      <sz val="8.5"/>
      <color theme="1"/>
      <name val="ＭＳ Ｐ明朝"/>
      <family val="1"/>
      <charset val="128"/>
    </font>
    <font>
      <sz val="11"/>
      <name val="HGP楷書体"/>
      <family val="4"/>
      <charset val="128"/>
    </font>
  </fonts>
  <fills count="12">
    <fill>
      <patternFill patternType="none"/>
    </fill>
    <fill>
      <patternFill patternType="gray125"/>
    </fill>
    <fill>
      <patternFill patternType="solid">
        <fgColor theme="4"/>
        <bgColor theme="4"/>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theme="8" tint="0.59996337778862885"/>
        <bgColor indexed="64"/>
      </patternFill>
    </fill>
    <fill>
      <patternFill patternType="solid">
        <fgColor theme="4" tint="0.79998168889431442"/>
        <bgColor indexed="64"/>
      </patternFill>
    </fill>
    <fill>
      <patternFill patternType="solid">
        <fgColor theme="9" tint="0.39994506668294322"/>
        <bgColor indexed="64"/>
      </patternFill>
    </fill>
  </fills>
  <borders count="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hair">
        <color auto="1"/>
      </left>
      <right style="hair">
        <color auto="1"/>
      </right>
      <top style="hair">
        <color auto="1"/>
      </top>
      <bottom style="hair">
        <color auto="1"/>
      </bottom>
      <diagonal/>
    </border>
    <border>
      <left/>
      <right/>
      <top/>
      <bottom style="medium">
        <color rgb="FFFFC000"/>
      </bottom>
      <diagonal/>
    </border>
  </borders>
  <cellStyleXfs count="1">
    <xf numFmtId="0" fontId="0" fillId="0" borderId="0">
      <alignment vertical="center"/>
    </xf>
  </cellStyleXfs>
  <cellXfs count="184">
    <xf numFmtId="0" fontId="0" fillId="0" borderId="0" xfId="0">
      <alignment vertical="center"/>
    </xf>
    <xf numFmtId="0" fontId="2" fillId="0" borderId="0" xfId="0" applyFont="1">
      <alignment vertical="center"/>
    </xf>
    <xf numFmtId="56" fontId="0" fillId="0" borderId="0" xfId="0" quotePrefix="1" applyNumberFormat="1">
      <alignment vertical="center"/>
    </xf>
    <xf numFmtId="0" fontId="0" fillId="0" borderId="1" xfId="0" applyBorder="1">
      <alignment vertical="center"/>
    </xf>
    <xf numFmtId="0" fontId="0" fillId="0" borderId="2" xfId="0" applyBorder="1">
      <alignment vertical="center"/>
    </xf>
    <xf numFmtId="14" fontId="5" fillId="0" borderId="0" xfId="0" applyNumberFormat="1" applyFont="1">
      <alignment vertical="center"/>
    </xf>
    <xf numFmtId="0" fontId="4" fillId="2" borderId="3" xfId="0" applyFont="1" applyFill="1" applyBorder="1">
      <alignment vertical="center"/>
    </xf>
    <xf numFmtId="0" fontId="4" fillId="2" borderId="4" xfId="0" applyFont="1" applyFill="1" applyBorder="1">
      <alignment vertical="center"/>
    </xf>
    <xf numFmtId="0" fontId="0" fillId="3" borderId="3" xfId="0" applyFill="1" applyBorder="1">
      <alignment vertical="center"/>
    </xf>
    <xf numFmtId="0" fontId="0" fillId="3" borderId="4" xfId="0" applyFill="1" applyBorder="1">
      <alignment vertical="center"/>
    </xf>
    <xf numFmtId="0" fontId="0" fillId="0" borderId="3" xfId="0" applyBorder="1">
      <alignment vertical="center"/>
    </xf>
    <xf numFmtId="0" fontId="0" fillId="0" borderId="4" xfId="0" applyBorder="1">
      <alignment vertical="center"/>
    </xf>
    <xf numFmtId="49" fontId="0" fillId="3" borderId="4" xfId="0" applyNumberFormat="1" applyFill="1" applyBorder="1">
      <alignment vertical="center"/>
    </xf>
    <xf numFmtId="49" fontId="0" fillId="0" borderId="4" xfId="0" applyNumberFormat="1" applyBorder="1">
      <alignment vertical="center"/>
    </xf>
    <xf numFmtId="49" fontId="0" fillId="0" borderId="2" xfId="0" applyNumberFormat="1" applyBorder="1">
      <alignment vertical="center"/>
    </xf>
    <xf numFmtId="49" fontId="0" fillId="0" borderId="0" xfId="0" applyNumberFormat="1">
      <alignment vertical="center"/>
    </xf>
    <xf numFmtId="177" fontId="6" fillId="0" borderId="0" xfId="0" applyNumberFormat="1" applyFont="1">
      <alignment vertical="center"/>
    </xf>
    <xf numFmtId="14" fontId="3" fillId="0" borderId="0" xfId="0" quotePrefix="1" applyNumberFormat="1" applyFont="1" applyAlignment="1"/>
    <xf numFmtId="0" fontId="7" fillId="0" borderId="0" xfId="0" applyFont="1">
      <alignment vertical="center"/>
    </xf>
    <xf numFmtId="14" fontId="7" fillId="0" borderId="0" xfId="0" applyNumberFormat="1" applyFont="1" applyAlignment="1"/>
    <xf numFmtId="0" fontId="10" fillId="0" borderId="0" xfId="0" applyFont="1">
      <alignment vertical="center"/>
    </xf>
    <xf numFmtId="14" fontId="0" fillId="0" borderId="0" xfId="0" applyNumberFormat="1" applyAlignment="1">
      <alignment vertical="center" wrapText="1"/>
    </xf>
    <xf numFmtId="0" fontId="0" fillId="0" borderId="0" xfId="0" applyAlignment="1">
      <alignment vertical="center" wrapText="1"/>
    </xf>
    <xf numFmtId="0" fontId="0" fillId="4" borderId="0" xfId="0" applyFill="1" applyAlignment="1">
      <alignment horizontal="center" vertical="center"/>
    </xf>
    <xf numFmtId="49" fontId="0" fillId="3" borderId="0" xfId="0" applyNumberFormat="1" applyFill="1">
      <alignment vertical="center"/>
    </xf>
    <xf numFmtId="56" fontId="11" fillId="0" borderId="0" xfId="0" quotePrefix="1" applyNumberFormat="1" applyFont="1" applyAlignment="1">
      <alignment horizontal="right" vertical="center"/>
    </xf>
    <xf numFmtId="0" fontId="0" fillId="0" borderId="0" xfId="0" applyAlignment="1">
      <alignment horizontal="center" vertical="center"/>
    </xf>
    <xf numFmtId="49" fontId="0" fillId="0" borderId="0" xfId="0" applyNumberFormat="1" applyAlignment="1">
      <alignment horizontal="right" vertical="center"/>
    </xf>
    <xf numFmtId="49" fontId="0" fillId="0" borderId="0" xfId="0" quotePrefix="1" applyNumberFormat="1" applyAlignment="1">
      <alignment horizontal="right" vertical="center"/>
    </xf>
    <xf numFmtId="0" fontId="0" fillId="0" borderId="0" xfId="0" applyAlignment="1">
      <alignment horizontal="right" vertical="center"/>
    </xf>
    <xf numFmtId="20" fontId="0" fillId="0" borderId="0" xfId="0" applyNumberFormat="1" applyAlignment="1">
      <alignment horizontal="right" vertical="center"/>
    </xf>
    <xf numFmtId="49" fontId="0" fillId="0" borderId="0" xfId="0" quotePrefix="1" applyNumberFormat="1" applyAlignment="1">
      <alignment horizontal="center" vertical="center"/>
    </xf>
    <xf numFmtId="14" fontId="12" fillId="0" borderId="0" xfId="0" quotePrefix="1" applyNumberFormat="1" applyFont="1" applyAlignment="1"/>
    <xf numFmtId="56" fontId="9" fillId="0" borderId="0" xfId="0" quotePrefix="1" applyNumberFormat="1" applyFont="1">
      <alignment vertical="center"/>
    </xf>
    <xf numFmtId="0" fontId="7" fillId="0" borderId="0" xfId="0" quotePrefix="1" applyFont="1" applyAlignment="1">
      <alignment horizontal="left" vertical="center"/>
    </xf>
    <xf numFmtId="20" fontId="0" fillId="0" borderId="0" xfId="0" applyNumberFormat="1">
      <alignment vertical="center"/>
    </xf>
    <xf numFmtId="178" fontId="0" fillId="0" borderId="0" xfId="0" applyNumberFormat="1">
      <alignment vertical="center"/>
    </xf>
    <xf numFmtId="178" fontId="0" fillId="0" borderId="0" xfId="0" applyNumberFormat="1" applyAlignment="1">
      <alignment horizontal="right" vertical="center"/>
    </xf>
    <xf numFmtId="179" fontId="0" fillId="0" borderId="0" xfId="0" applyNumberFormat="1">
      <alignment vertical="center"/>
    </xf>
    <xf numFmtId="179" fontId="0" fillId="0" borderId="0" xfId="0" applyNumberFormat="1" applyAlignment="1">
      <alignment horizontal="right" vertical="center"/>
    </xf>
    <xf numFmtId="14" fontId="3" fillId="0" borderId="0" xfId="0" applyNumberFormat="1" applyFont="1" applyAlignment="1"/>
    <xf numFmtId="0" fontId="11" fillId="0" borderId="0" xfId="0" applyFont="1">
      <alignment vertical="center"/>
    </xf>
    <xf numFmtId="0" fontId="9" fillId="5" borderId="0" xfId="0" applyFont="1" applyFill="1" applyAlignment="1">
      <alignment horizontal="center" vertical="center"/>
    </xf>
    <xf numFmtId="56" fontId="11" fillId="0" borderId="0" xfId="0" quotePrefix="1" applyNumberFormat="1" applyFont="1" applyAlignment="1">
      <alignment horizontal="left" vertical="center"/>
    </xf>
    <xf numFmtId="0" fontId="11" fillId="0" borderId="0" xfId="0" applyFont="1" applyAlignment="1">
      <alignment horizontal="center" vertical="center"/>
    </xf>
    <xf numFmtId="0" fontId="11" fillId="6" borderId="0" xfId="0" applyFont="1" applyFill="1" applyAlignment="1">
      <alignment horizontal="center" vertical="center"/>
    </xf>
    <xf numFmtId="56" fontId="11" fillId="0" borderId="0" xfId="0" quotePrefix="1" applyNumberFormat="1" applyFont="1">
      <alignment vertical="center"/>
    </xf>
    <xf numFmtId="49" fontId="0" fillId="0" borderId="0" xfId="0" applyNumberFormat="1" applyAlignment="1">
      <alignment horizontal="center" vertical="center"/>
    </xf>
    <xf numFmtId="0" fontId="9" fillId="0" borderId="0" xfId="0" applyFont="1" applyAlignment="1">
      <alignment horizontal="center" vertical="center"/>
    </xf>
    <xf numFmtId="0" fontId="0" fillId="0" borderId="0" xfId="0" quotePrefix="1" applyAlignment="1">
      <alignment horizontal="right" vertical="center"/>
    </xf>
    <xf numFmtId="178" fontId="6" fillId="0" borderId="0" xfId="0" applyNumberFormat="1" applyFont="1">
      <alignment vertical="center"/>
    </xf>
    <xf numFmtId="178" fontId="0" fillId="3" borderId="4" xfId="0" applyNumberFormat="1" applyFill="1" applyBorder="1">
      <alignment vertical="center"/>
    </xf>
    <xf numFmtId="178" fontId="0" fillId="0" borderId="4" xfId="0" applyNumberFormat="1" applyBorder="1">
      <alignment vertical="center"/>
    </xf>
    <xf numFmtId="178" fontId="0" fillId="0" borderId="2" xfId="0" applyNumberFormat="1" applyBorder="1">
      <alignment vertical="center"/>
    </xf>
    <xf numFmtId="178" fontId="0" fillId="0" borderId="0" xfId="0" applyNumberFormat="1" applyAlignment="1">
      <alignment horizontal="center" vertical="center"/>
    </xf>
    <xf numFmtId="0" fontId="6" fillId="0" borderId="0" xfId="0" applyFont="1">
      <alignment vertical="center"/>
    </xf>
    <xf numFmtId="20" fontId="6" fillId="0" borderId="0" xfId="0" applyNumberFormat="1" applyFont="1">
      <alignment vertical="center"/>
    </xf>
    <xf numFmtId="20" fontId="0" fillId="3" borderId="4" xfId="0" applyNumberFormat="1" applyFill="1" applyBorder="1">
      <alignment vertical="center"/>
    </xf>
    <xf numFmtId="20" fontId="0" fillId="0" borderId="4" xfId="0" applyNumberFormat="1" applyBorder="1">
      <alignment vertical="center"/>
    </xf>
    <xf numFmtId="20" fontId="0" fillId="0" borderId="2" xfId="0" applyNumberFormat="1" applyBorder="1">
      <alignment vertical="center"/>
    </xf>
    <xf numFmtId="20" fontId="0" fillId="0" borderId="0" xfId="0" applyNumberFormat="1" applyAlignment="1">
      <alignment horizontal="center" vertical="center"/>
    </xf>
    <xf numFmtId="49" fontId="6" fillId="0" borderId="0" xfId="0" applyNumberFormat="1" applyFont="1">
      <alignment vertical="center"/>
    </xf>
    <xf numFmtId="56" fontId="9" fillId="0" borderId="0" xfId="0" quotePrefix="1" applyNumberFormat="1" applyFont="1" applyAlignment="1">
      <alignment horizontal="left" vertical="center"/>
    </xf>
    <xf numFmtId="0" fontId="0" fillId="0" borderId="0" xfId="0" applyAlignment="1">
      <alignment horizontal="center" vertical="center" wrapText="1" shrinkToFit="1"/>
    </xf>
    <xf numFmtId="14" fontId="12" fillId="5" borderId="0" xfId="0" quotePrefix="1" applyNumberFormat="1" applyFont="1" applyFill="1" applyAlignment="1"/>
    <xf numFmtId="178" fontId="11" fillId="0" borderId="0" xfId="0" applyNumberFormat="1" applyFont="1">
      <alignment vertical="center"/>
    </xf>
    <xf numFmtId="0" fontId="7" fillId="5" borderId="0" xfId="0" quotePrefix="1" applyFont="1" applyFill="1">
      <alignment vertical="center"/>
    </xf>
    <xf numFmtId="0" fontId="12" fillId="0" borderId="0" xfId="0" applyFont="1">
      <alignment vertical="center"/>
    </xf>
    <xf numFmtId="14" fontId="0" fillId="0" borderId="0" xfId="0" applyNumberFormat="1">
      <alignment vertical="center"/>
    </xf>
    <xf numFmtId="178" fontId="0" fillId="4" borderId="0" xfId="0" applyNumberFormat="1" applyFill="1">
      <alignment vertical="center"/>
    </xf>
    <xf numFmtId="0" fontId="9" fillId="0" borderId="0" xfId="0" applyFont="1">
      <alignment vertical="center"/>
    </xf>
    <xf numFmtId="0" fontId="0" fillId="4" borderId="0" xfId="0" applyFill="1">
      <alignment vertical="center"/>
    </xf>
    <xf numFmtId="0" fontId="0" fillId="8" borderId="0" xfId="0" applyFill="1">
      <alignment vertical="center"/>
    </xf>
    <xf numFmtId="0" fontId="13" fillId="0" borderId="0" xfId="0" applyFont="1" applyAlignment="1">
      <alignment horizontal="center" vertical="center"/>
    </xf>
    <xf numFmtId="180" fontId="0" fillId="0" borderId="0" xfId="0" applyNumberFormat="1" applyAlignment="1">
      <alignment horizontal="right" vertical="center"/>
    </xf>
    <xf numFmtId="179" fontId="0" fillId="0" borderId="0" xfId="0" quotePrefix="1" applyNumberFormat="1" applyAlignment="1">
      <alignment horizontal="right" vertical="center"/>
    </xf>
    <xf numFmtId="0" fontId="13" fillId="0" borderId="0" xfId="0" applyFont="1" applyAlignment="1">
      <alignment horizontal="right" vertical="center"/>
    </xf>
    <xf numFmtId="0" fontId="0" fillId="0" borderId="0" xfId="0" applyAlignment="1">
      <alignment vertical="center" shrinkToFit="1"/>
    </xf>
    <xf numFmtId="0" fontId="14" fillId="0" borderId="0" xfId="0" applyFont="1">
      <alignment vertical="center"/>
    </xf>
    <xf numFmtId="181" fontId="0" fillId="0" borderId="0" xfId="0" applyNumberFormat="1">
      <alignment vertical="center"/>
    </xf>
    <xf numFmtId="0" fontId="15" fillId="0" borderId="0" xfId="0" applyFont="1">
      <alignment vertical="center"/>
    </xf>
    <xf numFmtId="49" fontId="0" fillId="0" borderId="0" xfId="0" quotePrefix="1" applyNumberFormat="1">
      <alignment vertical="center"/>
    </xf>
    <xf numFmtId="0" fontId="0" fillId="0" borderId="0" xfId="0" quotePrefix="1">
      <alignment vertical="center"/>
    </xf>
    <xf numFmtId="0" fontId="11" fillId="4" borderId="0" xfId="0" applyFont="1" applyFill="1" applyAlignment="1">
      <alignment horizontal="center" vertical="center"/>
    </xf>
    <xf numFmtId="0" fontId="11" fillId="5" borderId="0" xfId="0" applyFont="1" applyFill="1" applyAlignment="1">
      <alignment horizontal="center" vertical="center"/>
    </xf>
    <xf numFmtId="0" fontId="11" fillId="9" borderId="0" xfId="0" applyFont="1" applyFill="1" applyAlignment="1">
      <alignment horizontal="center" vertical="center"/>
    </xf>
    <xf numFmtId="0" fontId="0" fillId="3" borderId="0" xfId="0" applyFill="1">
      <alignment vertical="center"/>
    </xf>
    <xf numFmtId="0" fontId="0" fillId="10" borderId="4" xfId="0" applyFill="1" applyBorder="1">
      <alignment vertical="center"/>
    </xf>
    <xf numFmtId="0" fontId="7" fillId="0" borderId="0" xfId="0" quotePrefix="1" applyFont="1">
      <alignment vertical="center"/>
    </xf>
    <xf numFmtId="180" fontId="0" fillId="0" borderId="0" xfId="0" applyNumberFormat="1">
      <alignment vertical="center"/>
    </xf>
    <xf numFmtId="181" fontId="0" fillId="0" borderId="0" xfId="0" applyNumberFormat="1" applyAlignment="1">
      <alignment horizontal="right" vertical="center"/>
    </xf>
    <xf numFmtId="0" fontId="0" fillId="4" borderId="0" xfId="0" applyFill="1" applyAlignment="1">
      <alignment horizontal="right" vertical="center"/>
    </xf>
    <xf numFmtId="179" fontId="0" fillId="9" borderId="0" xfId="0" applyNumberFormat="1" applyFill="1" applyAlignment="1">
      <alignment horizontal="right" vertical="center"/>
    </xf>
    <xf numFmtId="179" fontId="0" fillId="6" borderId="0" xfId="0" applyNumberFormat="1" applyFill="1" applyAlignment="1">
      <alignment horizontal="right" vertical="center"/>
    </xf>
    <xf numFmtId="0" fontId="16" fillId="0" borderId="0" xfId="0" applyFont="1" applyAlignment="1">
      <alignment horizontal="right" vertical="center"/>
    </xf>
    <xf numFmtId="0" fontId="16" fillId="0" borderId="0" xfId="0" applyFont="1">
      <alignment vertical="center"/>
    </xf>
    <xf numFmtId="20" fontId="0" fillId="10" borderId="4" xfId="0" applyNumberFormat="1" applyFill="1" applyBorder="1">
      <alignment vertical="center"/>
    </xf>
    <xf numFmtId="49" fontId="0" fillId="10" borderId="4" xfId="0" applyNumberFormat="1" applyFill="1" applyBorder="1">
      <alignment vertical="center"/>
    </xf>
    <xf numFmtId="178" fontId="7" fillId="0" borderId="0" xfId="0" applyNumberFormat="1" applyFont="1">
      <alignment vertical="center"/>
    </xf>
    <xf numFmtId="180" fontId="0" fillId="0" borderId="5" xfId="0" applyNumberFormat="1" applyBorder="1">
      <alignment vertical="center"/>
    </xf>
    <xf numFmtId="179" fontId="0" fillId="0" borderId="5" xfId="0" applyNumberFormat="1" applyBorder="1">
      <alignment vertical="center"/>
    </xf>
    <xf numFmtId="178" fontId="0" fillId="0" borderId="5" xfId="0" applyNumberFormat="1" applyBorder="1" applyAlignment="1">
      <alignment horizontal="right" vertical="center"/>
    </xf>
    <xf numFmtId="56" fontId="11" fillId="0" borderId="0" xfId="0" applyNumberFormat="1" applyFont="1" applyAlignment="1">
      <alignment horizontal="left" vertical="center"/>
    </xf>
    <xf numFmtId="179" fontId="16" fillId="0" borderId="0" xfId="0" applyNumberFormat="1" applyFont="1" applyAlignment="1">
      <alignment horizontal="center" vertical="center"/>
    </xf>
    <xf numFmtId="178" fontId="16" fillId="0" borderId="0" xfId="0" applyNumberFormat="1" applyFont="1">
      <alignment vertical="center"/>
    </xf>
    <xf numFmtId="0" fontId="16" fillId="7" borderId="0" xfId="0" applyFont="1" applyFill="1">
      <alignment vertical="center"/>
    </xf>
    <xf numFmtId="0" fontId="17" fillId="0" borderId="0" xfId="0" applyFont="1">
      <alignment vertical="center"/>
    </xf>
    <xf numFmtId="20" fontId="0" fillId="4" borderId="0" xfId="0" applyNumberFormat="1" applyFill="1">
      <alignment vertical="center"/>
    </xf>
    <xf numFmtId="49" fontId="15" fillId="0" borderId="0" xfId="0" applyNumberFormat="1" applyFont="1">
      <alignment vertical="center"/>
    </xf>
    <xf numFmtId="0" fontId="0" fillId="0" borderId="6" xfId="0" applyBorder="1">
      <alignment vertical="center"/>
    </xf>
    <xf numFmtId="0" fontId="13" fillId="0" borderId="0" xfId="0" applyFont="1">
      <alignment vertical="center"/>
    </xf>
    <xf numFmtId="0" fontId="18" fillId="0" borderId="0" xfId="0" applyFont="1">
      <alignment vertical="center"/>
    </xf>
    <xf numFmtId="0" fontId="20" fillId="0" borderId="0" xfId="0" applyFont="1">
      <alignment vertical="center"/>
    </xf>
    <xf numFmtId="176" fontId="20" fillId="0" borderId="0" xfId="0" applyNumberFormat="1" applyFont="1">
      <alignment vertical="center"/>
    </xf>
    <xf numFmtId="0" fontId="22" fillId="0" borderId="0" xfId="0" quotePrefix="1" applyFont="1" applyAlignment="1"/>
    <xf numFmtId="0" fontId="23" fillId="0" borderId="0" xfId="0" quotePrefix="1" applyFont="1">
      <alignment vertical="center"/>
    </xf>
    <xf numFmtId="178" fontId="23" fillId="0" borderId="0" xfId="0" quotePrefix="1" applyNumberFormat="1" applyFont="1">
      <alignment vertical="center"/>
    </xf>
    <xf numFmtId="0" fontId="24" fillId="0" borderId="0" xfId="0" quotePrefix="1" applyFont="1" applyAlignment="1">
      <alignment horizontal="left" vertical="center"/>
    </xf>
    <xf numFmtId="0" fontId="20" fillId="0" borderId="0" xfId="0" applyFont="1" applyAlignment="1">
      <alignment horizontal="left" vertical="center"/>
    </xf>
    <xf numFmtId="0" fontId="24" fillId="0" borderId="0" xfId="0" quotePrefix="1" applyFont="1">
      <alignment vertical="center"/>
    </xf>
    <xf numFmtId="0" fontId="24" fillId="0" borderId="0" xfId="0" applyFont="1">
      <alignment vertical="center"/>
    </xf>
    <xf numFmtId="0" fontId="23" fillId="0" borderId="0" xfId="0" quotePrefix="1" applyFont="1" applyAlignment="1">
      <alignment horizontal="center" vertical="center"/>
    </xf>
    <xf numFmtId="0" fontId="24" fillId="0" borderId="0" xfId="0" quotePrefix="1" applyFont="1" applyAlignment="1">
      <alignment horizontal="center" vertical="center" wrapText="1"/>
    </xf>
    <xf numFmtId="14" fontId="20" fillId="0" borderId="0" xfId="0" quotePrefix="1" applyNumberFormat="1" applyFont="1" applyAlignment="1">
      <alignment horizontal="right" vertical="center"/>
    </xf>
    <xf numFmtId="0" fontId="20" fillId="0" borderId="0" xfId="0" quotePrefix="1" applyFont="1">
      <alignment vertical="center"/>
    </xf>
    <xf numFmtId="0" fontId="20" fillId="0" borderId="0" xfId="0" quotePrefix="1" applyFont="1" applyAlignment="1">
      <alignment horizontal="center" vertical="center"/>
    </xf>
    <xf numFmtId="0" fontId="20" fillId="0" borderId="0" xfId="0" quotePrefix="1" applyFont="1" applyAlignment="1">
      <alignment horizontal="right" vertical="center"/>
    </xf>
    <xf numFmtId="180" fontId="20" fillId="0" borderId="0" xfId="0" quotePrefix="1" applyNumberFormat="1"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vertical="center"/>
    </xf>
    <xf numFmtId="0" fontId="26" fillId="0" borderId="0" xfId="0" applyFont="1" applyAlignment="1">
      <alignment horizontal="left" vertical="center"/>
    </xf>
    <xf numFmtId="0" fontId="27" fillId="0" borderId="0" xfId="0" applyFont="1">
      <alignment vertical="center"/>
    </xf>
    <xf numFmtId="56" fontId="11" fillId="0" borderId="0" xfId="0" applyNumberFormat="1" applyFont="1">
      <alignment vertical="center"/>
    </xf>
    <xf numFmtId="0" fontId="28" fillId="0" borderId="0" xfId="0" applyFont="1">
      <alignment vertical="center"/>
    </xf>
    <xf numFmtId="178" fontId="29" fillId="0" borderId="0" xfId="0" applyNumberFormat="1" applyFont="1">
      <alignment vertical="center"/>
    </xf>
    <xf numFmtId="178" fontId="28" fillId="0" borderId="0" xfId="0" applyNumberFormat="1" applyFont="1" applyAlignment="1">
      <alignment horizontal="right" vertical="center"/>
    </xf>
    <xf numFmtId="0" fontId="16" fillId="0" borderId="0" xfId="0" applyFont="1" applyAlignment="1">
      <alignment horizontal="center" vertical="center"/>
    </xf>
    <xf numFmtId="0" fontId="29" fillId="0" borderId="0" xfId="0" applyFont="1" applyAlignment="1">
      <alignment horizontal="left" vertical="center"/>
    </xf>
    <xf numFmtId="0" fontId="9" fillId="5" borderId="0" xfId="0" applyFont="1" applyFill="1">
      <alignment vertical="center"/>
    </xf>
    <xf numFmtId="0" fontId="29" fillId="0" borderId="0" xfId="0" applyFont="1">
      <alignment vertical="center"/>
    </xf>
    <xf numFmtId="49" fontId="0" fillId="4" borderId="0" xfId="0" applyNumberFormat="1" applyFill="1">
      <alignment vertical="center"/>
    </xf>
    <xf numFmtId="178" fontId="9" fillId="11" borderId="0" xfId="0" applyNumberFormat="1" applyFont="1" applyFill="1">
      <alignment vertical="center"/>
    </xf>
    <xf numFmtId="178" fontId="11" fillId="0" borderId="0" xfId="0" quotePrefix="1" applyNumberFormat="1" applyFont="1">
      <alignment vertical="center"/>
    </xf>
    <xf numFmtId="0" fontId="31" fillId="5" borderId="0" xfId="0" applyFont="1" applyFill="1" applyAlignment="1">
      <alignment horizontal="center" vertical="center"/>
    </xf>
    <xf numFmtId="182" fontId="0" fillId="0" borderId="0" xfId="0" applyNumberFormat="1" applyAlignment="1">
      <alignment vertical="center" wrapText="1"/>
    </xf>
    <xf numFmtId="182" fontId="0" fillId="0" borderId="0" xfId="0" applyNumberFormat="1">
      <alignment vertical="center"/>
    </xf>
    <xf numFmtId="20" fontId="0" fillId="0" borderId="0" xfId="0" applyNumberFormat="1" applyAlignment="1">
      <alignment horizontal="left" vertical="center"/>
    </xf>
    <xf numFmtId="0" fontId="20" fillId="0" borderId="0" xfId="0" quotePrefix="1" applyFont="1" applyAlignment="1">
      <alignment horizontal="left" vertical="center"/>
    </xf>
    <xf numFmtId="0" fontId="20" fillId="0" borderId="0" xfId="0" quotePrefix="1" applyFont="1" applyAlignment="1">
      <alignment horizontal="center" vertical="center"/>
    </xf>
    <xf numFmtId="0" fontId="19" fillId="0" borderId="0" xfId="0" applyFont="1" applyAlignment="1">
      <alignment horizontal="left" vertical="center"/>
    </xf>
    <xf numFmtId="0" fontId="16" fillId="0" borderId="0" xfId="0" applyFont="1" applyAlignment="1">
      <alignment horizontal="center" vertical="center"/>
    </xf>
    <xf numFmtId="0" fontId="25" fillId="0" borderId="0" xfId="0" quotePrefix="1" applyFont="1" applyAlignment="1">
      <alignment horizontal="right"/>
    </xf>
    <xf numFmtId="0" fontId="2" fillId="0" borderId="0" xfId="0" applyFont="1" applyAlignment="1">
      <alignment horizontal="center" vertical="center"/>
    </xf>
    <xf numFmtId="0" fontId="7" fillId="5" borderId="0" xfId="0" quotePrefix="1" applyFont="1" applyFill="1" applyAlignment="1">
      <alignment horizontal="left" vertical="center"/>
    </xf>
    <xf numFmtId="14" fontId="8" fillId="5" borderId="0" xfId="0" applyNumberFormat="1" applyFont="1" applyFill="1" applyAlignment="1">
      <alignment horizontal="left"/>
    </xf>
    <xf numFmtId="180" fontId="20" fillId="0" borderId="0" xfId="0" quotePrefix="1" applyNumberFormat="1" applyFont="1" applyAlignment="1">
      <alignment horizontal="center" vertical="center"/>
    </xf>
    <xf numFmtId="0" fontId="20" fillId="0" borderId="0" xfId="0" applyFont="1" applyAlignment="1">
      <alignment horizontal="left"/>
    </xf>
    <xf numFmtId="0" fontId="23" fillId="0" borderId="0" xfId="0" quotePrefix="1" applyFont="1" applyAlignment="1">
      <alignment horizontal="center" vertical="center"/>
    </xf>
    <xf numFmtId="180" fontId="20" fillId="0" borderId="0" xfId="0" applyNumberFormat="1" applyFont="1" applyAlignment="1">
      <alignment horizontal="center" vertical="center"/>
    </xf>
    <xf numFmtId="0" fontId="22" fillId="0" borderId="0" xfId="0" quotePrefix="1" applyFont="1" applyAlignment="1">
      <alignment horizontal="center"/>
    </xf>
    <xf numFmtId="0" fontId="30" fillId="0" borderId="0" xfId="0" quotePrefix="1" applyFont="1" applyAlignment="1">
      <alignment horizontal="right" vertical="center" wrapText="1"/>
    </xf>
    <xf numFmtId="0" fontId="24" fillId="0" borderId="0" xfId="0" quotePrefix="1" applyFont="1" applyAlignment="1">
      <alignment horizontal="center" vertical="center"/>
    </xf>
    <xf numFmtId="0" fontId="20" fillId="0" borderId="0" xfId="0" applyFont="1" applyAlignment="1">
      <alignment horizontal="right"/>
    </xf>
    <xf numFmtId="0" fontId="24" fillId="0" borderId="0" xfId="0" quotePrefix="1" applyFont="1" applyAlignment="1">
      <alignment horizontal="right" vertical="center"/>
    </xf>
    <xf numFmtId="0" fontId="20" fillId="0" borderId="0" xfId="0" applyFont="1" applyAlignment="1">
      <alignment horizontal="center" vertical="center"/>
    </xf>
    <xf numFmtId="178" fontId="20" fillId="0" borderId="0" xfId="0" quotePrefix="1" applyNumberFormat="1" applyFont="1" applyAlignment="1">
      <alignment horizontal="center" vertical="center"/>
    </xf>
    <xf numFmtId="178" fontId="23" fillId="0" borderId="0" xfId="0" quotePrefix="1" applyNumberFormat="1" applyFont="1" applyAlignment="1">
      <alignment horizontal="center" vertical="center"/>
    </xf>
    <xf numFmtId="0" fontId="20" fillId="0" borderId="0" xfId="0" quotePrefix="1" applyFont="1" applyAlignment="1">
      <alignment horizontal="right" vertical="center"/>
    </xf>
    <xf numFmtId="0" fontId="23" fillId="0" borderId="0" xfId="0" applyFont="1" applyAlignment="1">
      <alignment horizontal="center" vertical="center"/>
    </xf>
    <xf numFmtId="0" fontId="20" fillId="0" borderId="0" xfId="0" applyFont="1" applyAlignment="1">
      <alignment horizontal="left" vertical="center"/>
    </xf>
    <xf numFmtId="178" fontId="20" fillId="0" borderId="0" xfId="0" applyNumberFormat="1" applyFont="1" applyAlignment="1">
      <alignment horizontal="center" vertical="center"/>
    </xf>
    <xf numFmtId="14" fontId="8" fillId="0" borderId="0" xfId="0" applyNumberFormat="1" applyFont="1" applyAlignment="1">
      <alignment horizontal="center"/>
    </xf>
    <xf numFmtId="180" fontId="25" fillId="0" borderId="0" xfId="0" applyNumberFormat="1" applyFont="1" applyAlignment="1">
      <alignment horizontal="center"/>
    </xf>
    <xf numFmtId="0" fontId="7" fillId="0" borderId="0" xfId="0" applyFont="1" applyAlignment="1">
      <alignment horizontal="center" vertical="center"/>
    </xf>
    <xf numFmtId="0" fontId="11" fillId="0" borderId="0" xfId="0" applyFont="1" applyAlignment="1">
      <alignment horizontal="center" vertical="center"/>
    </xf>
    <xf numFmtId="178" fontId="23" fillId="0" borderId="0" xfId="0" applyNumberFormat="1" applyFont="1" applyAlignment="1">
      <alignment horizontal="center" vertical="center"/>
    </xf>
    <xf numFmtId="178" fontId="16" fillId="0" borderId="0" xfId="0" applyNumberFormat="1" applyFont="1" applyAlignment="1">
      <alignment horizontal="center" vertical="center"/>
    </xf>
    <xf numFmtId="178" fontId="23" fillId="0" borderId="0" xfId="0" quotePrefix="1" applyNumberFormat="1" applyFont="1" applyAlignment="1">
      <alignment horizontal="left" vertical="center"/>
    </xf>
    <xf numFmtId="14" fontId="8" fillId="5" borderId="0" xfId="0" applyNumberFormat="1" applyFont="1" applyFill="1" applyAlignment="1">
      <alignment horizontal="center"/>
    </xf>
    <xf numFmtId="56" fontId="9" fillId="0" borderId="0" xfId="0" quotePrefix="1" applyNumberFormat="1" applyFont="1" applyAlignment="1">
      <alignment horizontal="left" vertical="center"/>
    </xf>
    <xf numFmtId="0" fontId="13" fillId="0" borderId="0" xfId="0" applyFont="1" applyAlignment="1">
      <alignment horizontal="center" vertical="center"/>
    </xf>
    <xf numFmtId="56" fontId="9" fillId="0" borderId="0" xfId="0" quotePrefix="1" applyNumberFormat="1" applyFont="1" applyAlignment="1">
      <alignment horizontal="center" vertical="center"/>
    </xf>
    <xf numFmtId="0" fontId="0" fillId="0" borderId="0" xfId="0" applyAlignment="1">
      <alignment horizontal="center" vertical="center"/>
    </xf>
    <xf numFmtId="49" fontId="11" fillId="0" borderId="0" xfId="0" quotePrefix="1" applyNumberFormat="1" applyFont="1">
      <alignmen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18" Type="http://schemas.openxmlformats.org/officeDocument/2006/relationships/image" Target="../media/image18.emf"/><Relationship Id="rId3" Type="http://schemas.openxmlformats.org/officeDocument/2006/relationships/image" Target="../media/image3.emf"/><Relationship Id="rId21" Type="http://schemas.openxmlformats.org/officeDocument/2006/relationships/image" Target="../media/image21.emf"/><Relationship Id="rId7" Type="http://schemas.openxmlformats.org/officeDocument/2006/relationships/image" Target="../media/image7.emf"/><Relationship Id="rId12" Type="http://schemas.openxmlformats.org/officeDocument/2006/relationships/image" Target="../media/image12.emf"/><Relationship Id="rId17" Type="http://schemas.openxmlformats.org/officeDocument/2006/relationships/image" Target="../media/image17.emf"/><Relationship Id="rId2" Type="http://schemas.openxmlformats.org/officeDocument/2006/relationships/image" Target="../media/image2.emf"/><Relationship Id="rId16" Type="http://schemas.openxmlformats.org/officeDocument/2006/relationships/image" Target="../media/image16.emf"/><Relationship Id="rId20" Type="http://schemas.openxmlformats.org/officeDocument/2006/relationships/image" Target="../media/image20.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24" Type="http://schemas.openxmlformats.org/officeDocument/2006/relationships/image" Target="../media/image24.emf"/><Relationship Id="rId5" Type="http://schemas.openxmlformats.org/officeDocument/2006/relationships/image" Target="../media/image5.emf"/><Relationship Id="rId15" Type="http://schemas.openxmlformats.org/officeDocument/2006/relationships/image" Target="../media/image15.emf"/><Relationship Id="rId23" Type="http://schemas.openxmlformats.org/officeDocument/2006/relationships/image" Target="../media/image23.emf"/><Relationship Id="rId10" Type="http://schemas.openxmlformats.org/officeDocument/2006/relationships/image" Target="../media/image10.emf"/><Relationship Id="rId19" Type="http://schemas.openxmlformats.org/officeDocument/2006/relationships/image" Target="../media/image19.emf"/><Relationship Id="rId4" Type="http://schemas.openxmlformats.org/officeDocument/2006/relationships/image" Target="../media/image4.emf"/><Relationship Id="rId9" Type="http://schemas.openxmlformats.org/officeDocument/2006/relationships/image" Target="../media/image9.emf"/><Relationship Id="rId14" Type="http://schemas.openxmlformats.org/officeDocument/2006/relationships/image" Target="../media/image14.emf"/><Relationship Id="rId22" Type="http://schemas.openxmlformats.org/officeDocument/2006/relationships/image" Target="../media/image2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28575</xdr:colOff>
          <xdr:row>17</xdr:row>
          <xdr:rowOff>66675</xdr:rowOff>
        </xdr:from>
        <xdr:to>
          <xdr:col>3</xdr:col>
          <xdr:colOff>142875</xdr:colOff>
          <xdr:row>18</xdr:row>
          <xdr:rowOff>152400</xdr:rowOff>
        </xdr:to>
        <xdr:sp macro="" textlink="">
          <xdr:nvSpPr>
            <xdr:cNvPr id="1026" name="Object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20</xdr:row>
          <xdr:rowOff>76200</xdr:rowOff>
        </xdr:from>
        <xdr:to>
          <xdr:col>3</xdr:col>
          <xdr:colOff>9525</xdr:colOff>
          <xdr:row>21</xdr:row>
          <xdr:rowOff>123825</xdr:rowOff>
        </xdr:to>
        <xdr:sp macro="" textlink="">
          <xdr:nvSpPr>
            <xdr:cNvPr id="1027" name="Object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23</xdr:row>
          <xdr:rowOff>76200</xdr:rowOff>
        </xdr:from>
        <xdr:to>
          <xdr:col>3</xdr:col>
          <xdr:colOff>47625</xdr:colOff>
          <xdr:row>24</xdr:row>
          <xdr:rowOff>133350</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11</xdr:col>
          <xdr:colOff>142875</xdr:colOff>
          <xdr:row>13</xdr:row>
          <xdr:rowOff>104775</xdr:rowOff>
        </xdr:from>
        <xdr:to>
          <xdr:col>13</xdr:col>
          <xdr:colOff>104775</xdr:colOff>
          <xdr:row>14</xdr:row>
          <xdr:rowOff>114300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14</xdr:row>
          <xdr:rowOff>0</xdr:rowOff>
        </xdr:from>
        <xdr:to>
          <xdr:col>20</xdr:col>
          <xdr:colOff>76200</xdr:colOff>
          <xdr:row>15</xdr:row>
          <xdr:rowOff>76200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29</xdr:row>
          <xdr:rowOff>38100</xdr:rowOff>
        </xdr:from>
        <xdr:to>
          <xdr:col>3</xdr:col>
          <xdr:colOff>95250</xdr:colOff>
          <xdr:row>31</xdr:row>
          <xdr:rowOff>28575</xdr:rowOff>
        </xdr:to>
        <xdr:sp macro="" textlink="">
          <xdr:nvSpPr>
            <xdr:cNvPr id="1031" name="Object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29</xdr:row>
          <xdr:rowOff>47625</xdr:rowOff>
        </xdr:from>
        <xdr:to>
          <xdr:col>11</xdr:col>
          <xdr:colOff>19050</xdr:colOff>
          <xdr:row>31</xdr:row>
          <xdr:rowOff>38100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29</xdr:row>
          <xdr:rowOff>47625</xdr:rowOff>
        </xdr:from>
        <xdr:to>
          <xdr:col>17</xdr:col>
          <xdr:colOff>9525</xdr:colOff>
          <xdr:row>31</xdr:row>
          <xdr:rowOff>38100</xdr:rowOff>
        </xdr:to>
        <xdr:sp macro="" textlink="">
          <xdr:nvSpPr>
            <xdr:cNvPr id="1033" name="Object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34</xdr:row>
          <xdr:rowOff>95250</xdr:rowOff>
        </xdr:from>
        <xdr:to>
          <xdr:col>6</xdr:col>
          <xdr:colOff>28575</xdr:colOff>
          <xdr:row>35</xdr:row>
          <xdr:rowOff>142875</xdr:rowOff>
        </xdr:to>
        <xdr:sp macro="" textlink="">
          <xdr:nvSpPr>
            <xdr:cNvPr id="1034" name="Object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104775</xdr:rowOff>
        </xdr:from>
        <xdr:to>
          <xdr:col>7</xdr:col>
          <xdr:colOff>9525</xdr:colOff>
          <xdr:row>37</xdr:row>
          <xdr:rowOff>133350</xdr:rowOff>
        </xdr:to>
        <xdr:sp macro="" textlink="">
          <xdr:nvSpPr>
            <xdr:cNvPr id="1035" name="Object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114300</xdr:rowOff>
        </xdr:from>
        <xdr:to>
          <xdr:col>7</xdr:col>
          <xdr:colOff>9525</xdr:colOff>
          <xdr:row>39</xdr:row>
          <xdr:rowOff>142875</xdr:rowOff>
        </xdr:to>
        <xdr:sp macro="" textlink="">
          <xdr:nvSpPr>
            <xdr:cNvPr id="1036" name="Object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85725</xdr:colOff>
          <xdr:row>34</xdr:row>
          <xdr:rowOff>76200</xdr:rowOff>
        </xdr:from>
        <xdr:to>
          <xdr:col>17</xdr:col>
          <xdr:colOff>38100</xdr:colOff>
          <xdr:row>35</xdr:row>
          <xdr:rowOff>133350</xdr:rowOff>
        </xdr:to>
        <xdr:sp macro="" textlink="">
          <xdr:nvSpPr>
            <xdr:cNvPr id="1037" name="Object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36</xdr:row>
          <xdr:rowOff>95250</xdr:rowOff>
        </xdr:from>
        <xdr:to>
          <xdr:col>4</xdr:col>
          <xdr:colOff>0</xdr:colOff>
          <xdr:row>37</xdr:row>
          <xdr:rowOff>123825</xdr:rowOff>
        </xdr:to>
        <xdr:sp macro="" textlink="">
          <xdr:nvSpPr>
            <xdr:cNvPr id="1038" name="Object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57150</xdr:colOff>
          <xdr:row>36</xdr:row>
          <xdr:rowOff>104775</xdr:rowOff>
        </xdr:from>
        <xdr:to>
          <xdr:col>17</xdr:col>
          <xdr:colOff>142875</xdr:colOff>
          <xdr:row>37</xdr:row>
          <xdr:rowOff>142875</xdr:rowOff>
        </xdr:to>
        <xdr:sp macro="" textlink="">
          <xdr:nvSpPr>
            <xdr:cNvPr id="1039" name="Object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40</xdr:row>
          <xdr:rowOff>0</xdr:rowOff>
        </xdr:from>
        <xdr:to>
          <xdr:col>4</xdr:col>
          <xdr:colOff>133350</xdr:colOff>
          <xdr:row>43</xdr:row>
          <xdr:rowOff>152400</xdr:rowOff>
        </xdr:to>
        <xdr:sp macro="" textlink="">
          <xdr:nvSpPr>
            <xdr:cNvPr id="1040" name="Object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26</xdr:row>
          <xdr:rowOff>66675</xdr:rowOff>
        </xdr:from>
        <xdr:to>
          <xdr:col>3</xdr:col>
          <xdr:colOff>38100</xdr:colOff>
          <xdr:row>27</xdr:row>
          <xdr:rowOff>133350</xdr:rowOff>
        </xdr:to>
        <xdr:sp macro="" textlink="">
          <xdr:nvSpPr>
            <xdr:cNvPr id="1041" name="Object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32</xdr:row>
          <xdr:rowOff>104775</xdr:rowOff>
        </xdr:from>
        <xdr:to>
          <xdr:col>3</xdr:col>
          <xdr:colOff>123825</xdr:colOff>
          <xdr:row>33</xdr:row>
          <xdr:rowOff>161925</xdr:rowOff>
        </xdr:to>
        <xdr:sp macro="" textlink="">
          <xdr:nvSpPr>
            <xdr:cNvPr id="1042" name="Object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xdr:row>
          <xdr:rowOff>0</xdr:rowOff>
        </xdr:from>
        <xdr:to>
          <xdr:col>6</xdr:col>
          <xdr:colOff>9525</xdr:colOff>
          <xdr:row>13</xdr:row>
          <xdr:rowOff>76200</xdr:rowOff>
        </xdr:to>
        <xdr:sp macro="" textlink="">
          <xdr:nvSpPr>
            <xdr:cNvPr id="1043" name="Object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10</xdr:row>
          <xdr:rowOff>19050</xdr:rowOff>
        </xdr:from>
        <xdr:to>
          <xdr:col>6</xdr:col>
          <xdr:colOff>19050</xdr:colOff>
          <xdr:row>11</xdr:row>
          <xdr:rowOff>9525</xdr:rowOff>
        </xdr:to>
        <xdr:sp macro="" textlink="">
          <xdr:nvSpPr>
            <xdr:cNvPr id="1044" name="Object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12</xdr:row>
          <xdr:rowOff>9525</xdr:rowOff>
        </xdr:from>
        <xdr:to>
          <xdr:col>15</xdr:col>
          <xdr:colOff>209550</xdr:colOff>
          <xdr:row>13</xdr:row>
          <xdr:rowOff>76200</xdr:rowOff>
        </xdr:to>
        <xdr:sp macro="" textlink="">
          <xdr:nvSpPr>
            <xdr:cNvPr id="1045" name="Object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10</xdr:row>
          <xdr:rowOff>19050</xdr:rowOff>
        </xdr:from>
        <xdr:to>
          <xdr:col>15</xdr:col>
          <xdr:colOff>209550</xdr:colOff>
          <xdr:row>11</xdr:row>
          <xdr:rowOff>9525</xdr:rowOff>
        </xdr:to>
        <xdr:sp macro="" textlink="">
          <xdr:nvSpPr>
            <xdr:cNvPr id="1046" name="Object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xdr:row>
          <xdr:rowOff>38100</xdr:rowOff>
        </xdr:from>
        <xdr:to>
          <xdr:col>6</xdr:col>
          <xdr:colOff>28575</xdr:colOff>
          <xdr:row>9</xdr:row>
          <xdr:rowOff>9525</xdr:rowOff>
        </xdr:to>
        <xdr:sp macro="" textlink="">
          <xdr:nvSpPr>
            <xdr:cNvPr id="1047" name="Object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8</xdr:row>
          <xdr:rowOff>38100</xdr:rowOff>
        </xdr:from>
        <xdr:to>
          <xdr:col>14</xdr:col>
          <xdr:colOff>9525</xdr:colOff>
          <xdr:row>9</xdr:row>
          <xdr:rowOff>9525</xdr:rowOff>
        </xdr:to>
        <xdr:sp macro="" textlink="">
          <xdr:nvSpPr>
            <xdr:cNvPr id="1048" name="Object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13</xdr:row>
          <xdr:rowOff>85725</xdr:rowOff>
        </xdr:from>
        <xdr:to>
          <xdr:col>7</xdr:col>
          <xdr:colOff>19050</xdr:colOff>
          <xdr:row>14</xdr:row>
          <xdr:rowOff>95250</xdr:rowOff>
        </xdr:to>
        <xdr:sp macro="" textlink="">
          <xdr:nvSpPr>
            <xdr:cNvPr id="1049" name="Object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package" Target="../embeddings/Microsoft_Word_Document7.docx"/><Relationship Id="rId26" Type="http://schemas.openxmlformats.org/officeDocument/2006/relationships/package" Target="../embeddings/Microsoft_Word_Document11.docx"/><Relationship Id="rId39" Type="http://schemas.openxmlformats.org/officeDocument/2006/relationships/image" Target="../media/image18.emf"/><Relationship Id="rId3" Type="http://schemas.openxmlformats.org/officeDocument/2006/relationships/vmlDrawing" Target="../drawings/vmlDrawing1.vml"/><Relationship Id="rId21" Type="http://schemas.openxmlformats.org/officeDocument/2006/relationships/image" Target="../media/image9.emf"/><Relationship Id="rId34" Type="http://schemas.openxmlformats.org/officeDocument/2006/relationships/package" Target="../embeddings/Microsoft_Word_Document15.docx"/><Relationship Id="rId42" Type="http://schemas.openxmlformats.org/officeDocument/2006/relationships/package" Target="../embeddings/Microsoft_Word_Document19.docx"/><Relationship Id="rId47" Type="http://schemas.openxmlformats.org/officeDocument/2006/relationships/image" Target="../media/image22.emf"/><Relationship Id="rId50" Type="http://schemas.openxmlformats.org/officeDocument/2006/relationships/package" Target="../embeddings/Microsoft_Word_Document23.docx"/><Relationship Id="rId7" Type="http://schemas.openxmlformats.org/officeDocument/2006/relationships/image" Target="../media/image2.emf"/><Relationship Id="rId12" Type="http://schemas.openxmlformats.org/officeDocument/2006/relationships/package" Target="../embeddings/Microsoft_Word_Document4.docx"/><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package" Target="../embeddings/Microsoft_Word_Document17.docx"/><Relationship Id="rId46" Type="http://schemas.openxmlformats.org/officeDocument/2006/relationships/package" Target="../embeddings/Microsoft_Word_Document21.docx"/><Relationship Id="rId2" Type="http://schemas.openxmlformats.org/officeDocument/2006/relationships/drawing" Target="../drawings/drawing1.xml"/><Relationship Id="rId16" Type="http://schemas.openxmlformats.org/officeDocument/2006/relationships/package" Target="../embeddings/Microsoft_Word_Document6.docx"/><Relationship Id="rId20" Type="http://schemas.openxmlformats.org/officeDocument/2006/relationships/package" Target="../embeddings/Microsoft_Word_Document8.docx"/><Relationship Id="rId29" Type="http://schemas.openxmlformats.org/officeDocument/2006/relationships/image" Target="../media/image13.emf"/><Relationship Id="rId41" Type="http://schemas.openxmlformats.org/officeDocument/2006/relationships/image" Target="../media/image19.emf"/><Relationship Id="rId1" Type="http://schemas.openxmlformats.org/officeDocument/2006/relationships/printerSettings" Target="../printerSettings/printerSettings1.bin"/><Relationship Id="rId6" Type="http://schemas.openxmlformats.org/officeDocument/2006/relationships/package" Target="../embeddings/Microsoft_Word_Document1.docx"/><Relationship Id="rId11" Type="http://schemas.openxmlformats.org/officeDocument/2006/relationships/image" Target="../media/image4.emf"/><Relationship Id="rId24" Type="http://schemas.openxmlformats.org/officeDocument/2006/relationships/package" Target="../embeddings/Microsoft_Word_Document10.docx"/><Relationship Id="rId32" Type="http://schemas.openxmlformats.org/officeDocument/2006/relationships/package" Target="../embeddings/Microsoft_Word_Document14.docx"/><Relationship Id="rId37" Type="http://schemas.openxmlformats.org/officeDocument/2006/relationships/image" Target="../media/image17.emf"/><Relationship Id="rId40" Type="http://schemas.openxmlformats.org/officeDocument/2006/relationships/package" Target="../embeddings/Microsoft_Word_Document18.docx"/><Relationship Id="rId45" Type="http://schemas.openxmlformats.org/officeDocument/2006/relationships/image" Target="../media/image21.emf"/><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package" Target="../embeddings/Microsoft_Word_Document12.docx"/><Relationship Id="rId36" Type="http://schemas.openxmlformats.org/officeDocument/2006/relationships/package" Target="../embeddings/Microsoft_Word_Document16.docx"/><Relationship Id="rId49" Type="http://schemas.openxmlformats.org/officeDocument/2006/relationships/image" Target="../media/image23.emf"/><Relationship Id="rId10" Type="http://schemas.openxmlformats.org/officeDocument/2006/relationships/package" Target="../embeddings/Microsoft_Word_Document3.docx"/><Relationship Id="rId19" Type="http://schemas.openxmlformats.org/officeDocument/2006/relationships/image" Target="../media/image8.emf"/><Relationship Id="rId31" Type="http://schemas.openxmlformats.org/officeDocument/2006/relationships/image" Target="../media/image14.emf"/><Relationship Id="rId44" Type="http://schemas.openxmlformats.org/officeDocument/2006/relationships/package" Target="../embeddings/Microsoft_Word_Document20.docx"/><Relationship Id="rId4" Type="http://schemas.openxmlformats.org/officeDocument/2006/relationships/package" Target="../embeddings/Microsoft_Word_Document.docx"/><Relationship Id="rId9" Type="http://schemas.openxmlformats.org/officeDocument/2006/relationships/image" Target="../media/image3.emf"/><Relationship Id="rId14" Type="http://schemas.openxmlformats.org/officeDocument/2006/relationships/package" Target="../embeddings/Microsoft_Word_Document5.docx"/><Relationship Id="rId22" Type="http://schemas.openxmlformats.org/officeDocument/2006/relationships/package" Target="../embeddings/Microsoft_Word_Document9.docx"/><Relationship Id="rId27" Type="http://schemas.openxmlformats.org/officeDocument/2006/relationships/image" Target="../media/image12.emf"/><Relationship Id="rId30" Type="http://schemas.openxmlformats.org/officeDocument/2006/relationships/package" Target="../embeddings/Microsoft_Word_Document13.docx"/><Relationship Id="rId35" Type="http://schemas.openxmlformats.org/officeDocument/2006/relationships/image" Target="../media/image16.emf"/><Relationship Id="rId43" Type="http://schemas.openxmlformats.org/officeDocument/2006/relationships/image" Target="../media/image20.emf"/><Relationship Id="rId48" Type="http://schemas.openxmlformats.org/officeDocument/2006/relationships/package" Target="../embeddings/Microsoft_Word_Document22.docx"/><Relationship Id="rId8" Type="http://schemas.openxmlformats.org/officeDocument/2006/relationships/package" Target="../embeddings/Microsoft_Word_Document2.docx"/><Relationship Id="rId51" Type="http://schemas.openxmlformats.org/officeDocument/2006/relationships/image" Target="../media/image24.emf"/></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theme="8" tint="0.39997558519241921"/>
  </sheetPr>
  <dimension ref="A1:AG57"/>
  <sheetViews>
    <sheetView tabSelected="1" zoomScaleNormal="100" workbookViewId="0">
      <selection activeCell="G29" sqref="G29"/>
    </sheetView>
  </sheetViews>
  <sheetFormatPr defaultColWidth="9" defaultRowHeight="13.5"/>
  <cols>
    <col min="1" max="1" width="1.25" style="1" customWidth="1"/>
    <col min="2" max="2" width="0.875" style="1" customWidth="1"/>
    <col min="3" max="3" width="2" style="1" customWidth="1"/>
    <col min="4" max="4" width="2.375" style="1" customWidth="1"/>
    <col min="5" max="5" width="2.5" style="1" customWidth="1"/>
    <col min="6" max="6" width="2.125" style="1" customWidth="1"/>
    <col min="7" max="7" width="1.125" style="1" customWidth="1"/>
    <col min="8" max="8" width="3.125" style="1" customWidth="1"/>
    <col min="9" max="10" width="0.625" style="1" customWidth="1"/>
    <col min="11" max="11" width="4" style="1" customWidth="1"/>
    <col min="12" max="12" width="2.75" style="1" customWidth="1"/>
    <col min="13" max="13" width="4.5" style="1" customWidth="1"/>
    <col min="14" max="14" width="4.625" style="1" customWidth="1"/>
    <col min="15" max="15" width="2.625" style="1" customWidth="1"/>
    <col min="16" max="16" width="3.125" style="1" customWidth="1"/>
    <col min="17" max="17" width="1.5" style="1" customWidth="1"/>
    <col min="18" max="18" width="3.5" style="1" customWidth="1"/>
    <col min="19" max="19" width="3.125" style="1" customWidth="1"/>
    <col min="20" max="20" width="3.25" style="1" customWidth="1"/>
    <col min="21" max="21" width="9.125" style="1" customWidth="1"/>
    <col min="22" max="22" width="9" style="1"/>
    <col min="23" max="23" width="10.5" style="18" customWidth="1"/>
    <col min="24" max="24" width="10.625" style="1" customWidth="1"/>
    <col min="25" max="25" width="9" style="1"/>
    <col min="26" max="26" width="6.75" style="1" customWidth="1"/>
    <col min="27" max="16384" width="9" style="1"/>
  </cols>
  <sheetData>
    <row r="1" spans="1:33" ht="0.75" customHeight="1">
      <c r="A1" s="112"/>
      <c r="B1" s="112"/>
      <c r="C1" s="112"/>
      <c r="D1" s="112"/>
      <c r="E1" s="112"/>
      <c r="F1" s="112"/>
      <c r="G1" s="112"/>
      <c r="H1" s="112"/>
      <c r="I1" s="112"/>
      <c r="J1" s="112"/>
      <c r="K1" s="112"/>
      <c r="L1" s="112"/>
      <c r="M1" s="112"/>
      <c r="N1" s="112"/>
      <c r="O1" s="112"/>
      <c r="P1" s="112"/>
      <c r="Q1" s="112"/>
      <c r="R1" s="112"/>
      <c r="S1" s="112"/>
      <c r="T1" s="112"/>
      <c r="U1" s="112"/>
      <c r="AC1" s="133"/>
      <c r="AD1" s="133"/>
      <c r="AE1" s="133"/>
      <c r="AF1" s="133"/>
      <c r="AG1" s="133"/>
    </row>
    <row r="2" spans="1:33" ht="0.75" customHeight="1">
      <c r="A2" s="112"/>
      <c r="B2" s="112"/>
      <c r="C2" s="112"/>
      <c r="D2" s="112"/>
      <c r="E2" s="112"/>
      <c r="F2" s="112"/>
      <c r="G2" s="112"/>
      <c r="H2" s="112"/>
      <c r="I2" s="112"/>
      <c r="J2" s="112"/>
      <c r="K2" s="112"/>
      <c r="L2" s="112"/>
      <c r="M2" s="112"/>
      <c r="N2" s="112"/>
      <c r="O2" s="112"/>
      <c r="P2" s="112"/>
      <c r="Q2" s="112"/>
      <c r="R2" s="112"/>
      <c r="S2" s="112"/>
      <c r="T2" s="112"/>
      <c r="U2" s="112"/>
      <c r="AC2" s="133"/>
      <c r="AD2" s="133"/>
      <c r="AE2" s="133"/>
      <c r="AF2" s="133"/>
      <c r="AG2" s="133"/>
    </row>
    <row r="3" spans="1:33" ht="0.75" customHeight="1">
      <c r="A3" s="112"/>
      <c r="B3" s="112"/>
      <c r="C3" s="112"/>
      <c r="D3" s="112"/>
      <c r="E3" s="112"/>
      <c r="F3" s="112"/>
      <c r="G3" s="112"/>
      <c r="H3" s="112"/>
      <c r="I3" s="112"/>
      <c r="J3" s="112"/>
      <c r="K3" s="112"/>
      <c r="L3" s="112"/>
      <c r="M3" s="112"/>
      <c r="N3" s="112"/>
      <c r="O3" s="112"/>
      <c r="P3" s="112"/>
      <c r="Q3" s="112"/>
      <c r="R3" s="112"/>
      <c r="S3" s="112"/>
      <c r="T3" s="112"/>
      <c r="U3" s="112"/>
      <c r="AC3" s="133"/>
      <c r="AD3" s="133"/>
      <c r="AE3" s="133"/>
      <c r="AF3" s="133"/>
      <c r="AG3" s="133"/>
    </row>
    <row r="4" spans="1:33" ht="11.1" customHeight="1">
      <c r="A4" s="112"/>
      <c r="B4" s="112"/>
      <c r="C4" s="112"/>
      <c r="D4" s="112"/>
      <c r="E4" s="112"/>
      <c r="F4" s="112"/>
      <c r="G4" s="112"/>
      <c r="H4" s="112"/>
      <c r="I4" s="112"/>
      <c r="J4" s="112"/>
      <c r="K4" s="112"/>
      <c r="L4" s="112"/>
      <c r="M4" s="112"/>
      <c r="N4" s="112"/>
      <c r="O4" s="112"/>
      <c r="P4" s="112"/>
      <c r="Q4" s="112"/>
      <c r="R4" s="112"/>
      <c r="S4" s="112"/>
      <c r="T4" s="112"/>
      <c r="U4" s="112"/>
      <c r="AC4" s="133"/>
      <c r="AD4" s="133"/>
      <c r="AE4" s="133"/>
      <c r="AF4" s="133"/>
      <c r="AG4" s="133"/>
    </row>
    <row r="5" spans="1:33" ht="10.5" customHeight="1">
      <c r="A5" s="112"/>
      <c r="B5" s="112"/>
      <c r="C5" s="112"/>
      <c r="D5" s="112"/>
      <c r="E5" s="112"/>
      <c r="F5" s="112"/>
      <c r="G5" s="112"/>
      <c r="H5" s="112"/>
      <c r="I5" s="112"/>
      <c r="J5" s="112"/>
      <c r="K5" s="112"/>
      <c r="L5" s="112"/>
      <c r="M5" s="112"/>
      <c r="N5" s="112"/>
      <c r="O5" s="112"/>
      <c r="P5" s="112"/>
      <c r="Q5" s="112"/>
      <c r="R5" s="112"/>
      <c r="S5" s="112"/>
      <c r="T5" s="112"/>
      <c r="U5" s="112"/>
      <c r="AC5" s="133"/>
      <c r="AD5" s="133"/>
      <c r="AE5" s="133"/>
      <c r="AF5" s="133"/>
      <c r="AG5" s="133"/>
    </row>
    <row r="6" spans="1:33" ht="12" customHeight="1">
      <c r="A6" s="112"/>
      <c r="B6" s="112"/>
      <c r="C6" s="112"/>
      <c r="D6" s="112"/>
      <c r="E6" s="112"/>
      <c r="F6" s="112"/>
      <c r="G6" s="112"/>
      <c r="H6" s="112"/>
      <c r="I6" s="112"/>
      <c r="J6" s="112"/>
      <c r="K6" s="112"/>
      <c r="L6" s="112"/>
      <c r="M6" s="112"/>
      <c r="N6" s="112"/>
      <c r="O6" s="112"/>
      <c r="P6" s="112"/>
      <c r="Q6" s="112"/>
      <c r="R6" s="112"/>
      <c r="S6" s="112"/>
      <c r="T6" s="112"/>
      <c r="U6" s="112"/>
      <c r="W6" s="67" t="s">
        <v>12</v>
      </c>
      <c r="X6" s="84" t="s">
        <v>115</v>
      </c>
      <c r="Y6" s="83" t="str">
        <f ca="1">IF(NETWORKDAYS(データシート!A1,データシート!A1,データシート!Z3:Z60),"平日","休日")</f>
        <v>休日</v>
      </c>
      <c r="Z6" s="174" t="s">
        <v>176</v>
      </c>
      <c r="AA6" s="174"/>
      <c r="AB6" s="42" t="s">
        <v>57</v>
      </c>
      <c r="AC6" s="133"/>
      <c r="AD6" s="133"/>
      <c r="AE6" s="133"/>
      <c r="AF6" s="133"/>
      <c r="AG6" s="133"/>
    </row>
    <row r="7" spans="1:33" ht="15.75" customHeight="1">
      <c r="A7" s="112"/>
      <c r="B7" s="147">
        <f ca="1">IF(AB6="YES","",IF(OR(X6="本　日",X6="明　日",X6="明後日",X6="３日後",X6="４日後",X6="５日後",X6="６日後"),YEAR(データシート!A1),""))</f>
        <v>2025</v>
      </c>
      <c r="C7" s="147"/>
      <c r="D7" s="147"/>
      <c r="E7" s="147"/>
      <c r="F7" s="148">
        <f ca="1">IF(AB6="YES","",IF(OR(X6="本　日",X6="明　日",X6="明後日",X6="３日後",X6="４日後",X6="５日後",X6="６日後"),MONTH(データシート!A1),""))</f>
        <v>4</v>
      </c>
      <c r="G7" s="148"/>
      <c r="H7" s="148" t="str">
        <f ca="1">IF(AB6="YES","",IF(OR(X6="本　日",X6="明　日",X6="明後日",X6="３日後",X6="４日後",X6="５日後",X6="６日後"),DAY(データシート!A1),""))&amp;"  "</f>
        <v xml:space="preserve">29  </v>
      </c>
      <c r="I7" s="148"/>
      <c r="J7" s="148"/>
      <c r="K7" s="148"/>
      <c r="L7" s="112"/>
      <c r="M7" s="112"/>
      <c r="N7" s="113"/>
      <c r="O7" s="112"/>
      <c r="P7" s="112"/>
      <c r="Q7" s="112"/>
      <c r="R7" s="112"/>
      <c r="S7" s="112"/>
      <c r="T7" s="112"/>
      <c r="U7" s="112"/>
      <c r="V7" s="17"/>
      <c r="W7" s="19" t="s">
        <v>11</v>
      </c>
      <c r="X7" s="143" t="e">
        <f ca="1">VALUE(MID(CELL("filename",A1),SEARCH("[",CELL("filename",A1))+1,SEARCH(".",CELL("filename",A1))-1-SEARCH("[",CELL("filename",A1))))</f>
        <v>#VALUE!</v>
      </c>
      <c r="Y7" s="138" t="s">
        <v>246</v>
      </c>
      <c r="Z7" s="137" t="s">
        <v>245</v>
      </c>
      <c r="AC7" s="95" t="e">
        <f ca="1">IF(AE7&lt;AF7," ","")</f>
        <v>#N/A</v>
      </c>
      <c r="AD7" s="105" t="s">
        <v>97</v>
      </c>
      <c r="AE7" s="94" t="e">
        <f ca="1">VALUE(VLOOKUP($X$8,データシート!$B$69:'データシート'!$X$652,8,FALSE))</f>
        <v>#N/A</v>
      </c>
      <c r="AF7" s="95">
        <f>VALUE((データシート!$K$65))</f>
        <v>0.41666666666666669</v>
      </c>
      <c r="AG7" s="133"/>
    </row>
    <row r="8" spans="1:33" ht="13.5" customHeight="1">
      <c r="A8" s="112"/>
      <c r="B8" s="112"/>
      <c r="C8" s="112"/>
      <c r="D8" s="112"/>
      <c r="E8" s="112"/>
      <c r="F8" s="112"/>
      <c r="G8" s="112"/>
      <c r="H8" s="112"/>
      <c r="I8" s="112"/>
      <c r="J8" s="112"/>
      <c r="K8" s="112"/>
      <c r="L8" s="112"/>
      <c r="M8" s="112"/>
      <c r="N8" s="112"/>
      <c r="O8" s="112"/>
      <c r="P8" s="112"/>
      <c r="Q8" s="112"/>
      <c r="R8" s="112"/>
      <c r="S8" s="112"/>
      <c r="T8" s="112"/>
      <c r="U8" s="112"/>
      <c r="W8" s="173" t="s">
        <v>223</v>
      </c>
      <c r="X8" s="173"/>
      <c r="Y8" s="42" t="s">
        <v>225</v>
      </c>
      <c r="AA8" s="139" t="s">
        <v>247</v>
      </c>
      <c r="AC8" s="95" t="e">
        <f ca="1">IF(AE8&lt;AF8," ","")</f>
        <v>#N/A</v>
      </c>
      <c r="AD8" s="95" t="s">
        <v>98</v>
      </c>
      <c r="AE8" s="94" t="e">
        <f ca="1">VALUE(VLOOKUP($X$8,データシート!$B$69:'データシート'!$X$652,10,FALSE))</f>
        <v>#N/A</v>
      </c>
      <c r="AF8" s="95">
        <f>VALUE((データシート!$K$65))</f>
        <v>0.41666666666666669</v>
      </c>
      <c r="AG8" s="133"/>
    </row>
    <row r="9" spans="1:33" ht="21" customHeight="1">
      <c r="A9" s="112"/>
      <c r="B9" s="112"/>
      <c r="C9" s="112"/>
      <c r="D9" s="112"/>
      <c r="E9" s="112"/>
      <c r="F9" s="112"/>
      <c r="G9" s="112"/>
      <c r="H9" s="159" t="e">
        <f ca="1">"   "&amp;IF(X7="","",X7)</f>
        <v>#VALUE!</v>
      </c>
      <c r="I9" s="159"/>
      <c r="J9" s="159"/>
      <c r="K9" s="159"/>
      <c r="L9" s="159"/>
      <c r="M9" s="112"/>
      <c r="N9" s="112"/>
      <c r="O9" s="114" t="e">
        <f ca="1">IF(Y7="バス 太郎","　 "&amp;VLOOKUP(X7,データシート!AD2:AE77,2,FALSE),Y7)</f>
        <v>#VALUE!</v>
      </c>
      <c r="P9" s="114"/>
      <c r="Q9" s="114"/>
      <c r="R9" s="114"/>
      <c r="S9" s="114"/>
      <c r="T9" s="114"/>
      <c r="U9" s="112"/>
      <c r="V9" s="18"/>
      <c r="W9" s="173" t="s">
        <v>224</v>
      </c>
      <c r="X9" s="173"/>
      <c r="Y9" s="42" t="s">
        <v>57</v>
      </c>
      <c r="AC9" s="95" t="e">
        <f ca="1">IF(AE9&lt;AF9," ","")</f>
        <v>#N/A</v>
      </c>
      <c r="AD9" s="95" t="s">
        <v>99</v>
      </c>
      <c r="AE9" s="94" t="e">
        <f ca="1">VALUE(VLOOKUP($X$8,データシート!$B$69:'データシート'!$X$652,12,FALSE))</f>
        <v>#N/A</v>
      </c>
      <c r="AF9" s="95">
        <f>VALUE((データシート!$K$65))</f>
        <v>0.41666666666666669</v>
      </c>
      <c r="AG9" s="133"/>
    </row>
    <row r="10" spans="1:33" ht="12.95" customHeight="1">
      <c r="A10" s="112"/>
      <c r="B10" s="112"/>
      <c r="C10" s="112"/>
      <c r="D10" s="112"/>
      <c r="E10" s="112"/>
      <c r="F10" s="112"/>
      <c r="G10" s="112"/>
      <c r="H10" s="112"/>
      <c r="I10" s="112"/>
      <c r="J10" s="112"/>
      <c r="K10" s="112"/>
      <c r="L10" s="112"/>
      <c r="M10" s="112"/>
      <c r="N10" s="112"/>
      <c r="O10" s="112"/>
      <c r="P10" s="112"/>
      <c r="Q10" s="112"/>
      <c r="R10" s="112"/>
      <c r="S10" s="112"/>
      <c r="T10" s="112"/>
      <c r="U10" s="112"/>
      <c r="Y10" s="48"/>
      <c r="AC10" s="95" t="e">
        <f ca="1">IF(AE10&lt;AF10," ","")</f>
        <v>#N/A</v>
      </c>
      <c r="AD10" s="95" t="s">
        <v>100</v>
      </c>
      <c r="AE10" s="94" t="e">
        <f ca="1">VALUE(VLOOKUP($X$8,データシート!$B$69:'データシート'!$X$652,13,FALSE))</f>
        <v>#N/A</v>
      </c>
      <c r="AF10" s="95">
        <f>VALUE((データシート!$K$65))</f>
        <v>0.41666666666666669</v>
      </c>
      <c r="AG10" s="133"/>
    </row>
    <row r="11" spans="1:33" ht="21" customHeight="1">
      <c r="A11" s="112"/>
      <c r="B11" s="112"/>
      <c r="C11" s="112"/>
      <c r="D11" s="112"/>
      <c r="E11" s="112"/>
      <c r="F11" s="115"/>
      <c r="G11" s="166">
        <f>IF(データシート２!D47="",データシート２!D3,データシート２!D47)</f>
        <v>0</v>
      </c>
      <c r="H11" s="166"/>
      <c r="I11" s="166"/>
      <c r="J11" s="166"/>
      <c r="K11" s="166"/>
      <c r="L11" s="112"/>
      <c r="M11" s="112"/>
      <c r="N11" s="112"/>
      <c r="O11" s="112"/>
      <c r="P11" s="112"/>
      <c r="Q11" s="116"/>
      <c r="S11" s="177">
        <f>IF(データシート２!D47="",データシート２!F3,データシート２!F47)</f>
        <v>0</v>
      </c>
      <c r="T11" s="177"/>
      <c r="U11" s="177"/>
      <c r="W11" s="18" t="s">
        <v>54</v>
      </c>
      <c r="Y11" s="42" t="s">
        <v>57</v>
      </c>
      <c r="AC11" s="95" t="e">
        <f ca="1">IF(AE11&lt;AF11," ","")</f>
        <v>#N/A</v>
      </c>
      <c r="AD11" s="95" t="s">
        <v>101</v>
      </c>
      <c r="AE11" s="94" t="e">
        <f ca="1">VALUE((VLOOKUP($X$8,データシート!$B$69:'データシート'!$X$652,14,FALSE)))</f>
        <v>#N/A</v>
      </c>
      <c r="AF11" s="95">
        <f>VALUE((データシート!$K$65))</f>
        <v>0.41666666666666669</v>
      </c>
      <c r="AG11" s="133"/>
    </row>
    <row r="12" spans="1:33" ht="16.5" customHeight="1">
      <c r="A12" s="112"/>
      <c r="B12" s="112"/>
      <c r="C12" s="112"/>
      <c r="D12" s="112"/>
      <c r="E12" s="112"/>
      <c r="F12" s="112"/>
      <c r="G12" s="112"/>
      <c r="H12" s="112"/>
      <c r="I12" s="112"/>
      <c r="J12" s="112"/>
      <c r="K12" s="112"/>
      <c r="L12" s="112"/>
      <c r="M12" s="112"/>
      <c r="N12" s="112"/>
      <c r="O12" s="112"/>
      <c r="P12" s="112"/>
      <c r="Q12" s="112"/>
      <c r="R12" s="112"/>
      <c r="S12" s="112"/>
      <c r="T12" s="112"/>
      <c r="U12" s="112"/>
      <c r="W12" s="18" t="s">
        <v>55</v>
      </c>
      <c r="Y12" s="42" t="s">
        <v>57</v>
      </c>
      <c r="Z12" s="41"/>
      <c r="AA12" s="41"/>
      <c r="AB12" s="40"/>
      <c r="AC12" s="95"/>
      <c r="AD12" s="95"/>
      <c r="AE12" s="95"/>
      <c r="AF12" s="95"/>
      <c r="AG12" s="133"/>
    </row>
    <row r="13" spans="1:33" ht="15" customHeight="1">
      <c r="A13" s="112"/>
      <c r="B13" s="112"/>
      <c r="C13" s="112"/>
      <c r="D13" s="112"/>
      <c r="E13" s="112"/>
      <c r="F13" s="115"/>
      <c r="G13" s="166">
        <f>IF(データシート２!F47="",データシート２!D3,データシート２!D47)</f>
        <v>0</v>
      </c>
      <c r="H13" s="166"/>
      <c r="I13" s="166"/>
      <c r="J13" s="166"/>
      <c r="K13" s="166"/>
      <c r="L13" s="112"/>
      <c r="M13" s="112"/>
      <c r="N13" s="112"/>
      <c r="O13" s="112"/>
      <c r="P13" s="112"/>
      <c r="Q13" s="116"/>
      <c r="S13" s="177">
        <f>IF(データシート２!F47="",データシート２!F3,データシート２!F47)</f>
        <v>0</v>
      </c>
      <c r="T13" s="177"/>
      <c r="U13" s="177"/>
      <c r="W13" s="64" t="s">
        <v>48</v>
      </c>
      <c r="X13" s="154"/>
      <c r="Y13" s="154"/>
      <c r="Z13" s="141"/>
      <c r="AA13" s="65" t="s">
        <v>105</v>
      </c>
      <c r="AB13" s="42" t="s">
        <v>57</v>
      </c>
      <c r="AC13" s="95" t="e">
        <f>IF(AE13&lt;AF13," ","")</f>
        <v>#VALUE!</v>
      </c>
      <c r="AD13" s="95" t="s">
        <v>97</v>
      </c>
      <c r="AE13" s="94" t="e">
        <f>VALUE(データシート２!I11)</f>
        <v>#VALUE!</v>
      </c>
      <c r="AF13" s="95">
        <f>VALUE((データシート!$K$65))</f>
        <v>0.41666666666666669</v>
      </c>
      <c r="AG13" s="133"/>
    </row>
    <row r="14" spans="1:33" ht="17.45" customHeight="1">
      <c r="A14" s="112"/>
      <c r="B14" s="112"/>
      <c r="C14" s="112"/>
      <c r="D14" s="112"/>
      <c r="E14" s="112"/>
      <c r="F14" s="115"/>
      <c r="G14" s="117"/>
      <c r="H14" s="118"/>
      <c r="I14" s="118"/>
      <c r="J14" s="119"/>
      <c r="K14" s="112"/>
      <c r="L14" s="112"/>
      <c r="M14" s="112"/>
      <c r="N14" s="112"/>
      <c r="O14" s="112"/>
      <c r="P14" s="117"/>
      <c r="Q14" s="117"/>
      <c r="R14" s="120"/>
      <c r="S14" s="112"/>
      <c r="T14" s="112"/>
      <c r="U14" s="112"/>
      <c r="W14" s="66" t="s">
        <v>49</v>
      </c>
      <c r="X14" s="154"/>
      <c r="Y14" s="154"/>
      <c r="AA14" s="134"/>
      <c r="AB14" s="133"/>
      <c r="AC14" s="95" t="e">
        <f>IF(AE14&lt;AF14," ","")</f>
        <v>#VALUE!</v>
      </c>
      <c r="AD14" s="95" t="s">
        <v>98</v>
      </c>
      <c r="AE14" s="94" t="e">
        <f>VALUE(データシート２!K11)</f>
        <v>#VALUE!</v>
      </c>
      <c r="AF14" s="95">
        <f>VALUE((データシート!$K$65))</f>
        <v>0.41666666666666669</v>
      </c>
      <c r="AG14" s="133"/>
    </row>
    <row r="15" spans="1:33" ht="12.75" customHeight="1">
      <c r="A15" s="112"/>
      <c r="B15" s="112"/>
      <c r="C15" s="156" t="str">
        <f>データシート２!H44</f>
        <v/>
      </c>
      <c r="D15" s="156"/>
      <c r="E15" s="156"/>
      <c r="F15" s="156"/>
      <c r="G15" s="163" t="e">
        <f ca="1">IF(X13="",LEFT(TEXT(データシート２!I3,AC7&amp;"H:MM"),2),LEFT(TEXT(データシート２!I47,AC51&amp;"H:MM"),2))</f>
        <v>#N/A</v>
      </c>
      <c r="H15" s="163"/>
      <c r="I15" s="163"/>
      <c r="J15" s="161" t="e">
        <f ca="1">IF(X13="",RIGHT(TEXT(データシート２!I3,AC7&amp;"H:MM"),2),RIGHT(TEXT(データシート２!I47,AC51&amp;"H:MM"),2))</f>
        <v>#N/A</v>
      </c>
      <c r="K15" s="161"/>
      <c r="L15" s="162" t="str">
        <f>データシート２!J44</f>
        <v/>
      </c>
      <c r="M15" s="162"/>
      <c r="N15" s="162"/>
      <c r="O15" s="112"/>
      <c r="P15" s="163" t="e">
        <f>IF(X13="",LEFT(TEXT(データシート２!K11,AC16&amp;"H:MM"),2),LEFT(TEXT(データシート２!K47,AC53&amp;"H:MM"),2))</f>
        <v>#VALUE!</v>
      </c>
      <c r="Q15" s="163"/>
      <c r="R15" s="163" t="e">
        <f>IF(X13="",RIGHT(TEXT(データシート２!K11,AC16&amp;"H:MM"),2),RIGHT(TEXT(データシート２!K47,AC53&amp;"H:MM"),2))&amp;"     "</f>
        <v>#VALUE!</v>
      </c>
      <c r="S15" s="163"/>
      <c r="U15" s="128" t="s">
        <v>249</v>
      </c>
      <c r="W15" s="153" t="s">
        <v>49</v>
      </c>
      <c r="X15" s="154"/>
      <c r="Y15" s="154"/>
      <c r="Z15" s="152"/>
      <c r="AA15" s="135"/>
      <c r="AB15" s="133"/>
      <c r="AC15" s="95" t="e">
        <f>IF(AE15&lt;AF15," ","")</f>
        <v>#VALUE!</v>
      </c>
      <c r="AD15" s="95" t="s">
        <v>38</v>
      </c>
      <c r="AE15" s="94" t="e">
        <f>VALUE(データシート２!M11)</f>
        <v>#VALUE!</v>
      </c>
      <c r="AF15" s="95">
        <f>VALUE((データシート!$K$65))</f>
        <v>0.41666666666666669</v>
      </c>
      <c r="AG15" s="133"/>
    </row>
    <row r="16" spans="1:33" ht="8.25" customHeight="1">
      <c r="A16" s="112"/>
      <c r="B16" s="112"/>
      <c r="C16" s="156"/>
      <c r="D16" s="156"/>
      <c r="E16" s="156"/>
      <c r="F16" s="156"/>
      <c r="G16" s="112"/>
      <c r="H16" s="112"/>
      <c r="I16" s="112"/>
      <c r="J16" s="112"/>
      <c r="K16" s="112"/>
      <c r="L16" s="162"/>
      <c r="M16" s="162"/>
      <c r="N16" s="162"/>
      <c r="O16" s="112"/>
      <c r="P16" s="112"/>
      <c r="Q16" s="112"/>
      <c r="R16" s="112"/>
      <c r="S16" s="112"/>
      <c r="T16" s="112"/>
      <c r="U16" s="112"/>
      <c r="W16" s="153"/>
      <c r="X16" s="154"/>
      <c r="Y16" s="154"/>
      <c r="Z16" s="152"/>
      <c r="AA16" s="176">
        <f>IF(AND(Y11="YES",Y12="YES"),"0:14",IF(AND(Y11="YES",Y12="NO"),"0:07",IF(AND(Y11="NO",Y12="YES"),"0:07",IF(AND(Y11="NO",Y12="NO"),0))))</f>
        <v>0</v>
      </c>
      <c r="AB16" s="150"/>
      <c r="AC16" s="150" t="e">
        <f>IF(AE16&lt;AF16," ","")</f>
        <v>#VALUE!</v>
      </c>
      <c r="AD16" s="150" t="s">
        <v>39</v>
      </c>
      <c r="AE16" s="150" t="e">
        <f>VALUE(データシート２!N11)</f>
        <v>#VALUE!</v>
      </c>
      <c r="AF16" s="150">
        <f>VALUE((データシート!$K$65))</f>
        <v>0.41666666666666669</v>
      </c>
      <c r="AG16" s="133"/>
    </row>
    <row r="17" spans="1:33" ht="5.0999999999999996" customHeight="1">
      <c r="A17" s="112"/>
      <c r="B17" s="112"/>
      <c r="C17" s="112"/>
      <c r="D17" s="112"/>
      <c r="E17" s="112"/>
      <c r="F17" s="112"/>
      <c r="G17" s="112"/>
      <c r="H17" s="112"/>
      <c r="I17" s="112"/>
      <c r="J17" s="112"/>
      <c r="K17" s="112"/>
      <c r="L17" s="112"/>
      <c r="M17" s="112"/>
      <c r="N17" s="112"/>
      <c r="O17" s="112"/>
      <c r="P17" s="112"/>
      <c r="Q17" s="112"/>
      <c r="R17" s="112"/>
      <c r="S17" s="112"/>
      <c r="T17" s="112"/>
      <c r="U17" s="112"/>
      <c r="W17" s="153" t="s">
        <v>49</v>
      </c>
      <c r="X17" s="154"/>
      <c r="Y17" s="154"/>
      <c r="Z17" s="152"/>
      <c r="AA17" s="176"/>
      <c r="AB17" s="150"/>
      <c r="AC17" s="150"/>
      <c r="AD17" s="150"/>
      <c r="AE17" s="150"/>
      <c r="AF17" s="150"/>
      <c r="AG17" s="133"/>
    </row>
    <row r="18" spans="1:33" ht="12" customHeight="1">
      <c r="A18" s="112"/>
      <c r="B18" s="112"/>
      <c r="C18" s="112"/>
      <c r="D18" s="157" t="str">
        <f>IF(X13="","",IF(OR(データシート２!W6="T",データシート２!W6="B2",データシート２!W6="Y1",データシート２!W6="Y2",データシート２!W6="Y4",データシート２!W6="Y5",データシート２!W6="K2",データシート２!W6="B2"),LEFT(X13,2),LEFT(X13,1)))</f>
        <v/>
      </c>
      <c r="E18" s="157"/>
      <c r="F18" s="157"/>
      <c r="G18" s="157" t="str">
        <f>IF(X13="","",IF(OR(X13=データシート!B123,X13=データシート!B124,X13=データシート!B125,X13=データシート!B126,X13=データシート!B401,X13=データシート!B443,X13=データシート!B444,X13=データシート!B445,X13=データシート!B446,X13=データシート!B447,X13=データシート!B448,X13=データシート!B449,X13=データシート!B450,X13=データシート!B451,X13=データシート!B452,X13=データシート!B453,X13=データシート!B454,データシート２!W6="B2"),MID(X13,3,2),IF(データシート２!W6="K2",MID(X13,4,1),MID(X13,3,1))))</f>
        <v/>
      </c>
      <c r="H18" s="157"/>
      <c r="I18" s="121"/>
      <c r="J18" s="112"/>
      <c r="K18" s="160" t="str">
        <f>IF(データシート２!B6="","",データシート２!L11)</f>
        <v/>
      </c>
      <c r="L18" s="160"/>
      <c r="M18" s="112"/>
      <c r="N18" s="123" t="str">
        <f>IF(X13="","",LEFT(TEXT(データシート２!M11,AC15&amp;"H:MM"),2))</f>
        <v/>
      </c>
      <c r="O18" s="124"/>
      <c r="P18" s="124" t="str">
        <f>IF(X13="","",RIGHT(TEXT(データシート２!M11,AC15&amp;"H:MM"),2))</f>
        <v/>
      </c>
      <c r="Q18" s="167" t="str">
        <f>IF(X13="","",LEFT(TEXT(データシート２!O11,AC18&amp;"H:MM"),2))&amp;" "</f>
        <v xml:space="preserve"> </v>
      </c>
      <c r="R18" s="167"/>
      <c r="S18" s="167" t="str">
        <f>IF(X13="","",RIGHT(TEXT(データシート２!O11,AC18&amp;"H:MM"),2))&amp;" "</f>
        <v xml:space="preserve"> </v>
      </c>
      <c r="T18" s="167"/>
      <c r="U18" s="158" t="str">
        <f>IF(X13="","",データシート２!P11)</f>
        <v/>
      </c>
      <c r="W18" s="153"/>
      <c r="X18" s="154"/>
      <c r="Y18" s="154"/>
      <c r="Z18" s="152"/>
      <c r="AA18" s="136" t="str">
        <f>IF(LEN(X13)&gt;=22,"0:0",IF(AND(Y11="YES",Y12="YES",AB13="YES"),"0:39",IF(AND(Y11="YES",Y12="NO",AB13="YES"),"0:32",IF(AND(Y11="NO",Y12="YES",AB13="YES"),"0:32",IF(AND(Y11="NO",Y12="NO",AB13="YES"),"0:25",IF(AND(Y11="YES",Y12="YES",AB13="NO"),"0:34",IF(AND(Y11="YES",Y12="NO",AB13="NO"),"0:27",IF(AND(Y11="NO",Y12="YES",AB13="NO"),"0:27",IF(AND(Y11="NO",Y12="NO",AB13="NO"),"0:20","")))))))))</f>
        <v>0:20</v>
      </c>
      <c r="AB18" s="103">
        <f>IF(AND(Y11="YES",Y12="YES"),5,IF(AND(Y11="YES",Y12="NO"),2.5,IF(AND(Y11="NO",Y12="YES"),2.5,IF(AND(Y11="NO",Y12="NO"),0))))</f>
        <v>0</v>
      </c>
      <c r="AC18" s="95" t="e">
        <f>IF(AE18&lt;AF18," ","")</f>
        <v>#VALUE!</v>
      </c>
      <c r="AD18" s="95" t="s">
        <v>40</v>
      </c>
      <c r="AE18" s="94" t="e">
        <f>VALUE(データシート２!O11)</f>
        <v>#VALUE!</v>
      </c>
      <c r="AF18" s="95">
        <f>VALUE((データシート!$K$65))</f>
        <v>0.41666666666666669</v>
      </c>
      <c r="AG18" s="133"/>
    </row>
    <row r="19" spans="1:33" ht="14.25" customHeight="1">
      <c r="A19" s="112"/>
      <c r="B19" s="112"/>
      <c r="C19" s="112"/>
      <c r="D19" s="157"/>
      <c r="E19" s="157"/>
      <c r="F19" s="157"/>
      <c r="G19" s="157"/>
      <c r="H19" s="157"/>
      <c r="I19" s="121"/>
      <c r="J19" s="112"/>
      <c r="K19" s="160"/>
      <c r="L19" s="160"/>
      <c r="M19" s="112"/>
      <c r="N19" s="123" t="str">
        <f>IF(X13="","",LEFT(TEXT(データシート２!N11,AC16&amp;"H:MM"),2))</f>
        <v/>
      </c>
      <c r="O19" s="124"/>
      <c r="P19" s="124" t="str">
        <f>IF(X13="","",RIGHT(TEXT(データシート２!N11,AC16&amp;"H:MM"),2))</f>
        <v/>
      </c>
      <c r="Q19" s="167"/>
      <c r="R19" s="167"/>
      <c r="S19" s="167"/>
      <c r="T19" s="167"/>
      <c r="U19" s="158"/>
      <c r="AA19" s="133"/>
      <c r="AB19" s="133"/>
      <c r="AC19" s="95"/>
      <c r="AD19" s="95"/>
      <c r="AE19" s="95"/>
      <c r="AF19" s="95"/>
      <c r="AG19" s="133"/>
    </row>
    <row r="20" spans="1:33" ht="6.75" customHeight="1">
      <c r="A20" s="112"/>
      <c r="B20" s="112"/>
      <c r="C20" s="112"/>
      <c r="D20" s="112"/>
      <c r="E20" s="112"/>
      <c r="F20" s="112"/>
      <c r="G20" s="112"/>
      <c r="H20" s="112"/>
      <c r="I20" s="112"/>
      <c r="J20" s="112"/>
      <c r="K20" s="112"/>
      <c r="L20" s="112"/>
      <c r="M20" s="112"/>
      <c r="N20" s="112"/>
      <c r="O20" s="112"/>
      <c r="P20" s="112"/>
      <c r="Q20" s="112"/>
      <c r="R20" s="112"/>
      <c r="S20" s="112"/>
      <c r="T20" s="112"/>
      <c r="U20" s="112"/>
      <c r="W20" s="32"/>
      <c r="X20" s="171"/>
      <c r="Y20" s="171"/>
      <c r="AA20" s="41"/>
      <c r="AC20" s="95"/>
      <c r="AD20" s="95"/>
      <c r="AE20" s="95"/>
      <c r="AF20" s="95"/>
      <c r="AG20" s="133"/>
    </row>
    <row r="21" spans="1:33" ht="14.25" customHeight="1">
      <c r="A21" s="112"/>
      <c r="B21" s="112"/>
      <c r="C21" s="112"/>
      <c r="D21" s="157" t="str">
        <f>IF(X24="","",IF(OR(データシート２!W16="T",データシート２!W16="B2",データシート２!W16="Y1",データシート２!W16="Y2",データシート２!W16="Y4",データシート２!W16="Y5",データシート２!W16="K2",データシート２!W16="B2"),LEFT(X24,2),LEFT(X24,1)))</f>
        <v/>
      </c>
      <c r="E21" s="157"/>
      <c r="F21" s="157"/>
      <c r="G21" s="157" t="str">
        <f>IF(X24="","",IF(OR(X24=データシート!B123,X24=データシート!B124,X24=データシート!B125,X24=データシート!B126,X24=データシート!B401,X24=データシート!B443,X24=データシート!B444,X24=データシート!B445,X24=データシート!B446,X24=データシート!B447,X24=データシート!B448,X24=データシート!B449,X24=データシート!B450,X24=データシート!B451,X24=データシート!B452,X24=データシート!B453,X24=データシート!B454,データシート２!W16="B2"),MID(X24,3,2),IF(データシート２!W16="K2",MID(X24,4,1),MID(X24,3,1))))</f>
        <v/>
      </c>
      <c r="H21" s="157"/>
      <c r="I21" s="121"/>
      <c r="J21" s="112"/>
      <c r="K21" s="160" t="str">
        <f>IF(データシート２!B16="","",データシート２!L21)</f>
        <v/>
      </c>
      <c r="L21" s="160"/>
      <c r="M21" s="112"/>
      <c r="N21" s="123" t="str">
        <f>IF(X24="","",LEFT(TEXT(データシート２!M21,AC27&amp;"H:MM"),2))</f>
        <v/>
      </c>
      <c r="O21" s="124"/>
      <c r="P21" s="124" t="str">
        <f>IF(X24="","",RIGHT(TEXT(データシート２!M21,AC27&amp;"H:MM"),2))</f>
        <v/>
      </c>
      <c r="Q21" s="167" t="str">
        <f>IF(X24="","",LEFT(TEXT(データシート２!O21,AC29&amp;"H:MM"),2))&amp;" "</f>
        <v xml:space="preserve"> </v>
      </c>
      <c r="R21" s="167"/>
      <c r="S21" s="167" t="str">
        <f>IF(X24="","",RIGHT(TEXT(データシート２!O21,AC29&amp;"H:MM"),2))&amp;" "</f>
        <v xml:space="preserve"> </v>
      </c>
      <c r="T21" s="167"/>
      <c r="U21" s="158" t="str">
        <f>IF(X24="","",データシート２!P21)</f>
        <v/>
      </c>
      <c r="W21" s="18" t="s">
        <v>54</v>
      </c>
      <c r="Y21" s="42" t="s">
        <v>57</v>
      </c>
      <c r="AC21" s="95"/>
      <c r="AD21" s="95"/>
      <c r="AE21" s="95"/>
      <c r="AF21" s="95"/>
      <c r="AG21" s="133"/>
    </row>
    <row r="22" spans="1:33" ht="14.25" customHeight="1">
      <c r="A22" s="112"/>
      <c r="B22" s="112"/>
      <c r="C22" s="112"/>
      <c r="D22" s="157"/>
      <c r="E22" s="157"/>
      <c r="F22" s="157"/>
      <c r="G22" s="157"/>
      <c r="H22" s="157"/>
      <c r="I22" s="121"/>
      <c r="J22" s="112"/>
      <c r="K22" s="160"/>
      <c r="L22" s="160"/>
      <c r="M22" s="112"/>
      <c r="N22" s="123" t="str">
        <f>IF(X24="","",LEFT(TEXT(データシート２!N21,AC28&amp;"H:MM"),2))</f>
        <v/>
      </c>
      <c r="O22" s="124"/>
      <c r="P22" s="124" t="str">
        <f>IF(X24="","",RIGHT(TEXT(データシート２!N21,AC28&amp;"H:MM"),2))</f>
        <v/>
      </c>
      <c r="Q22" s="167"/>
      <c r="R22" s="167"/>
      <c r="S22" s="167"/>
      <c r="T22" s="167"/>
      <c r="U22" s="158"/>
      <c r="W22" s="18" t="s">
        <v>55</v>
      </c>
      <c r="Y22" s="42" t="s">
        <v>57</v>
      </c>
      <c r="AC22" s="95"/>
      <c r="AD22" s="95"/>
      <c r="AE22" s="95"/>
      <c r="AF22" s="95"/>
      <c r="AG22" s="133"/>
    </row>
    <row r="23" spans="1:33" ht="3.6" customHeight="1">
      <c r="A23" s="112"/>
      <c r="B23" s="112"/>
      <c r="C23" s="112"/>
      <c r="D23" s="112"/>
      <c r="E23" s="112"/>
      <c r="F23" s="112"/>
      <c r="G23" s="112"/>
      <c r="H23" s="112"/>
      <c r="I23" s="112"/>
      <c r="J23" s="112"/>
      <c r="K23" s="112"/>
      <c r="L23" s="112"/>
      <c r="M23" s="112"/>
      <c r="N23" s="112"/>
      <c r="O23" s="112"/>
      <c r="P23" s="112"/>
      <c r="Q23" s="112"/>
      <c r="R23" s="112"/>
      <c r="S23" s="112"/>
      <c r="T23" s="112"/>
      <c r="U23" s="112"/>
      <c r="W23" s="64"/>
      <c r="X23" s="178"/>
      <c r="Y23" s="178"/>
      <c r="AA23" s="41"/>
      <c r="AC23" s="150" t="e">
        <f>IF(AE23&lt;AF23," ","")</f>
        <v>#VALUE!</v>
      </c>
      <c r="AD23" s="150" t="s">
        <v>97</v>
      </c>
      <c r="AE23" s="150" t="e">
        <f>VALUE(データシート２!I21)</f>
        <v>#VALUE!</v>
      </c>
      <c r="AF23" s="150">
        <f>VALUE((データシート!$K$65))</f>
        <v>0.41666666666666669</v>
      </c>
      <c r="AG23" s="133"/>
    </row>
    <row r="24" spans="1:33" ht="13.5" customHeight="1">
      <c r="A24" s="112"/>
      <c r="B24" s="112"/>
      <c r="C24" s="112"/>
      <c r="D24" s="157" t="str">
        <f>IF(X35="","",IF(OR(データシート２!W26="T",データシート２!W26="B2",データシート２!W26="Y1",データシート２!W26="Y2",データシート２!W26="Y4",データシート２!W26="Y5",データシート２!W26="K2",データシート２!W26="B2"),LEFT(X35,2),LEFT(X35,1)))</f>
        <v/>
      </c>
      <c r="E24" s="157"/>
      <c r="F24" s="157"/>
      <c r="G24" s="157" t="str">
        <f>IF(X35="","",IF(OR(X35=データシート!B123,X35=データシート!B124,X35=データシート!B125,X35=データシート!B126,X35=データシート!B401,X35=データシート!B443,X35=データシート!B444,X35=データシート!B445,X35=データシート!B446,X35=データシート!B447,X35=データシート!B448,X35=データシート!B449,X35=データシート!B450,X35=データシート!B451,X35=データシート!B452,X35=データシート!B453,X35=データシート!B454,データシート２!W26="B2"),MID(X35,3,2),IF(データシート２!W26="K2",MID(X35,4,1),MID(X35,3,1))))</f>
        <v/>
      </c>
      <c r="H24" s="157"/>
      <c r="I24" s="121"/>
      <c r="J24" s="112"/>
      <c r="K24" s="160" t="str">
        <f>IF(データシート２!B26="","",データシート２!L31)</f>
        <v/>
      </c>
      <c r="L24" s="160"/>
      <c r="M24" s="112"/>
      <c r="N24" s="123" t="str">
        <f>IF(X35="","",LEFT(TEXT(データシート２!M31,AC37&amp;"H:MM"),2))</f>
        <v/>
      </c>
      <c r="O24" s="124"/>
      <c r="P24" s="124" t="str">
        <f>IF(X35="","",RIGHT(TEXT(データシート２!M31,AC37&amp;"H:MM"),2))</f>
        <v/>
      </c>
      <c r="Q24" s="167" t="str">
        <f>IF(X35="","",LEFT(TEXT(データシート２!O31,AC39&amp;"H:MM"),2))&amp;" "</f>
        <v xml:space="preserve"> </v>
      </c>
      <c r="R24" s="167"/>
      <c r="S24" s="167" t="str">
        <f>IF(X35="","",RIGHT(TEXT(データシート２!O31,AC39&amp;"H:MM"),2))&amp;" "</f>
        <v xml:space="preserve"> </v>
      </c>
      <c r="T24" s="167"/>
      <c r="U24" s="155" t="str">
        <f>IF(X35="","",データシート２!P31)</f>
        <v/>
      </c>
      <c r="W24" s="64" t="s">
        <v>50</v>
      </c>
      <c r="X24" s="154"/>
      <c r="Y24" s="154"/>
      <c r="Z24" s="141"/>
      <c r="AA24" s="70" t="s">
        <v>105</v>
      </c>
      <c r="AB24" s="42" t="s">
        <v>57</v>
      </c>
      <c r="AC24" s="150"/>
      <c r="AD24" s="150"/>
      <c r="AE24" s="150"/>
      <c r="AF24" s="150"/>
      <c r="AG24" s="133"/>
    </row>
    <row r="25" spans="1:33" ht="12.75" customHeight="1">
      <c r="A25" s="112"/>
      <c r="B25" s="112"/>
      <c r="C25" s="112"/>
      <c r="D25" s="157"/>
      <c r="E25" s="157"/>
      <c r="F25" s="157"/>
      <c r="G25" s="157"/>
      <c r="H25" s="157"/>
      <c r="I25" s="121"/>
      <c r="J25" s="112"/>
      <c r="K25" s="160"/>
      <c r="L25" s="160"/>
      <c r="M25" s="112"/>
      <c r="N25" s="123" t="str">
        <f>IF(X35="","",LEFT(TEXT(データシート２!N31,AC38&amp;"H:MM"),2))</f>
        <v/>
      </c>
      <c r="O25" s="124"/>
      <c r="P25" s="124" t="str">
        <f>IF(X35="","",RIGHT(TEXT(データシート２!N31,AC38&amp;"H:MM"),2))</f>
        <v/>
      </c>
      <c r="Q25" s="167"/>
      <c r="R25" s="167"/>
      <c r="S25" s="167"/>
      <c r="T25" s="167"/>
      <c r="U25" s="155"/>
      <c r="W25" s="153" t="s">
        <v>49</v>
      </c>
      <c r="X25" s="154"/>
      <c r="Y25" s="154"/>
      <c r="Z25" s="152"/>
      <c r="AA25" s="152"/>
      <c r="AB25" s="152"/>
      <c r="AC25" s="150" t="e">
        <f>IF(AE25&lt;AF25," ","")</f>
        <v>#VALUE!</v>
      </c>
      <c r="AD25" s="150" t="s">
        <v>98</v>
      </c>
      <c r="AE25" s="150" t="e">
        <f>VALUE(データシート２!K21)</f>
        <v>#VALUE!</v>
      </c>
      <c r="AF25" s="150">
        <f>VALUE((データシート!$K$65))</f>
        <v>0.41666666666666669</v>
      </c>
      <c r="AG25" s="133"/>
    </row>
    <row r="26" spans="1:33" ht="5.25" customHeight="1">
      <c r="A26" s="112"/>
      <c r="B26" s="112"/>
      <c r="C26" s="112"/>
      <c r="D26" s="121"/>
      <c r="E26" s="121"/>
      <c r="F26" s="121"/>
      <c r="G26" s="121"/>
      <c r="H26" s="121"/>
      <c r="I26" s="121"/>
      <c r="J26" s="112"/>
      <c r="K26" s="122"/>
      <c r="L26" s="122"/>
      <c r="M26" s="112"/>
      <c r="N26" s="123"/>
      <c r="O26" s="124"/>
      <c r="P26" s="124"/>
      <c r="Q26" s="125"/>
      <c r="R26" s="125"/>
      <c r="S26" s="126"/>
      <c r="T26" s="128"/>
      <c r="U26" s="128"/>
      <c r="W26" s="153"/>
      <c r="X26" s="154"/>
      <c r="Y26" s="154"/>
      <c r="Z26" s="152"/>
      <c r="AA26" s="152"/>
      <c r="AB26" s="152"/>
      <c r="AC26" s="150"/>
      <c r="AD26" s="150"/>
      <c r="AE26" s="150"/>
      <c r="AF26" s="150"/>
      <c r="AG26" s="133"/>
    </row>
    <row r="27" spans="1:33" ht="12.95" customHeight="1">
      <c r="A27" s="112"/>
      <c r="B27" s="112"/>
      <c r="C27" s="112"/>
      <c r="D27" s="157" t="str">
        <f>IF(X43="","",IF(OR(データシート２!W36="T",データシート２!W36="B2",データシート２!W36="Y1",データシート２!W36="Y2",データシート２!W36="Y4",データシート２!W36="Y5",データシート２!W36="K2",データシート２!W36="B2"),LEFT(X43,2),LEFT(X43,1)))</f>
        <v/>
      </c>
      <c r="E27" s="157"/>
      <c r="F27" s="157"/>
      <c r="G27" s="157" t="str">
        <f>IF(X43="","",IF(OR(X43=データシート!B123,X43=データシート!B124,X43=データシート!B125,X43=データシート!B126,X43=データシート!B401,X43=データシート!B443,X43=データシート!B444,X43=データシート!B445,X43=データシート!B446,X43=データシート!B447,X43=データシート!B448,X43=データシート!B449,X43=データシート!B450,X43=データシート!B451,X43=データシート!B452,X43=データシート!B453,X43=データシート!B454,データシート２!W36="B2"),MID(X43,3,2),IF(データシート２!W36="K2",MID(X43,4,1),MID(X43,3,1))))</f>
        <v/>
      </c>
      <c r="H27" s="157"/>
      <c r="I27" s="121"/>
      <c r="J27" s="112"/>
      <c r="K27" s="160" t="str">
        <f>IF(データシート２!B36="","",データシート２!L41)</f>
        <v/>
      </c>
      <c r="L27" s="160"/>
      <c r="M27" s="112"/>
      <c r="N27" s="123" t="str">
        <f>IF(X43="","",LEFT(TEXT(データシート２!M41,AC45&amp;"H:MM"),2))</f>
        <v/>
      </c>
      <c r="O27" s="124"/>
      <c r="P27" s="124" t="str">
        <f>IF(X43="","",RIGHT(TEXT(データシート２!M41,AC45&amp;"H:MM"),2))</f>
        <v/>
      </c>
      <c r="Q27" s="167" t="str">
        <f>IF(X43="","",LEFT(TEXT(データシート２!O41,AC47&amp;"H:MM"),2))&amp;" "</f>
        <v xml:space="preserve"> </v>
      </c>
      <c r="R27" s="167"/>
      <c r="S27" s="167" t="str">
        <f>IF(X43="","",RIGHT(TEXT(データシート２!O41,AC47&amp;"H:MM"),2))&amp;" "</f>
        <v xml:space="preserve"> </v>
      </c>
      <c r="T27" s="167"/>
      <c r="U27" s="155" t="str">
        <f>IF(X43="","",データシート２!P41)</f>
        <v/>
      </c>
      <c r="W27" s="66" t="s">
        <v>49</v>
      </c>
      <c r="X27" s="154"/>
      <c r="Y27" s="154"/>
      <c r="AA27" s="104">
        <f>IF(AND(Y21="YES",Y22="YES"),"0:14",IF(AND(Y21="YES",Y22="NO"),"0:07",IF(AND(Y21="NO",Y22="YES"),"0:07",IF(AND(Y21="NO",Y22="NO"),0))))</f>
        <v>0</v>
      </c>
      <c r="AB27" s="106"/>
      <c r="AC27" s="95" t="e">
        <f>IF(AE27&lt;AF27," ","")</f>
        <v>#VALUE!</v>
      </c>
      <c r="AD27" s="95" t="s">
        <v>38</v>
      </c>
      <c r="AE27" s="95" t="e">
        <f>VALUE(データシート２!M21)</f>
        <v>#VALUE!</v>
      </c>
      <c r="AF27" s="95">
        <f>VALUE((データシート!$K$65))</f>
        <v>0.41666666666666669</v>
      </c>
      <c r="AG27" s="133"/>
    </row>
    <row r="28" spans="1:33" ht="15.75" customHeight="1">
      <c r="A28" s="112"/>
      <c r="B28" s="112"/>
      <c r="C28" s="112"/>
      <c r="D28" s="157"/>
      <c r="E28" s="157"/>
      <c r="F28" s="157"/>
      <c r="G28" s="157"/>
      <c r="H28" s="157"/>
      <c r="I28" s="121"/>
      <c r="J28" s="112"/>
      <c r="K28" s="160"/>
      <c r="L28" s="160"/>
      <c r="M28" s="112"/>
      <c r="N28" s="123" t="str">
        <f>IF(X43="","",LEFT(TEXT(データシート２!N41,AC46&amp;"H:MM"),2))</f>
        <v/>
      </c>
      <c r="O28" s="124"/>
      <c r="P28" s="124" t="str">
        <f>IF(X43="","",RIGHT(TEXT(データシート２!N41,AC46&amp;"H:MM"),2))</f>
        <v/>
      </c>
      <c r="Q28" s="167"/>
      <c r="R28" s="167"/>
      <c r="S28" s="167"/>
      <c r="T28" s="167"/>
      <c r="U28" s="155"/>
      <c r="W28" s="66" t="s">
        <v>49</v>
      </c>
      <c r="X28" s="154"/>
      <c r="Y28" s="154"/>
      <c r="AA28" s="104" t="str">
        <f>IF(LEN(X24)&gt;=22,"0:0",IF(AND(Y21="YES",Y22="YES",AB24="YES"),"0:39",IF(AND(Y21="YES",Y22="NO",AB24="YES"),"0:32",IF(AND(Y21="NO",Y22="YES",AB24="YES"),"0:32",IF(AND(Y21="NO",Y22="NO",AB24="YES"),"0:25",IF(AND(Y21="YES",Y22="YES",AB24="NO"),"0:34",IF(AND(Y21="YES",Y22="NO",AB24="NO"),"0:27",IF(AND(Y21="NO",Y22="YES",AB24="NO"),"0:27",IF(AND(Y21="NO",Y22="NO",AB24="NO"),"0:20","")))))))))</f>
        <v>0:20</v>
      </c>
      <c r="AB28" s="103">
        <f>IF(AND(Y21="YES",Y22="YES"),5,IF(AND(Y21="YES",Y22="NO"),2.5,IF(AND(Y21="NO",Y22="YES"),2.5,IF(AND(Y21="NO",Y22="NO"),0))))</f>
        <v>0</v>
      </c>
      <c r="AC28" s="95" t="e">
        <f>IF(AE28&lt;AF28," ","")</f>
        <v>#VALUE!</v>
      </c>
      <c r="AD28" s="95" t="s">
        <v>226</v>
      </c>
      <c r="AE28" s="94" t="e">
        <f>VALUE(データシート２!N21)</f>
        <v>#VALUE!</v>
      </c>
      <c r="AF28" s="95">
        <f>VALUE((データシート!$K$65))</f>
        <v>0.41666666666666669</v>
      </c>
      <c r="AG28" s="133"/>
    </row>
    <row r="29" spans="1:33" ht="7.5" customHeight="1">
      <c r="A29" s="112"/>
      <c r="B29" s="112"/>
      <c r="C29" s="112"/>
      <c r="D29" s="121"/>
      <c r="E29" s="121"/>
      <c r="F29" s="121"/>
      <c r="G29" s="121"/>
      <c r="H29" s="121"/>
      <c r="I29" s="121"/>
      <c r="J29" s="112"/>
      <c r="K29" s="122"/>
      <c r="L29" s="122"/>
      <c r="M29" s="112"/>
      <c r="N29" s="123"/>
      <c r="O29" s="124"/>
      <c r="P29" s="151" t="str">
        <f>IF(データシート２!P50="0.0","","通算前日km")</f>
        <v/>
      </c>
      <c r="Q29" s="151"/>
      <c r="R29" s="151"/>
      <c r="S29" s="151"/>
      <c r="T29" s="151"/>
      <c r="U29" s="172" t="str">
        <f>IF(データシート２!P50="0.0","",データシート２!R47)</f>
        <v/>
      </c>
      <c r="W29" s="88"/>
      <c r="AA29" s="152"/>
      <c r="AB29" s="152"/>
      <c r="AC29" s="150" t="e">
        <f>IF(AE29&lt;AF29," ","")</f>
        <v>#VALUE!</v>
      </c>
      <c r="AD29" s="150" t="s">
        <v>40</v>
      </c>
      <c r="AE29" s="150" t="e">
        <f>VALUE(データシート２!O21)</f>
        <v>#VALUE!</v>
      </c>
      <c r="AF29" s="150">
        <f>VALUE((データシート!$K$65))</f>
        <v>0.41666666666666669</v>
      </c>
      <c r="AG29" s="133"/>
    </row>
    <row r="30" spans="1:33" ht="5.25" customHeight="1">
      <c r="A30" s="112"/>
      <c r="B30" s="112"/>
      <c r="C30" s="112"/>
      <c r="D30" s="112"/>
      <c r="E30" s="112"/>
      <c r="F30" s="112"/>
      <c r="G30" s="112"/>
      <c r="H30" s="112"/>
      <c r="I30" s="112"/>
      <c r="J30" s="112"/>
      <c r="K30" s="112"/>
      <c r="L30" s="112"/>
      <c r="M30" s="112"/>
      <c r="N30" s="112"/>
      <c r="O30" s="112"/>
      <c r="P30" s="151"/>
      <c r="Q30" s="151"/>
      <c r="R30" s="151"/>
      <c r="S30" s="151"/>
      <c r="T30" s="151"/>
      <c r="U30" s="172"/>
      <c r="W30" s="88"/>
      <c r="AA30" s="152"/>
      <c r="AB30" s="152"/>
      <c r="AC30" s="150"/>
      <c r="AD30" s="150"/>
      <c r="AE30" s="150"/>
      <c r="AF30" s="150"/>
      <c r="AG30" s="133"/>
    </row>
    <row r="31" spans="1:33" ht="14.25" customHeight="1">
      <c r="A31" s="112"/>
      <c r="B31" s="112"/>
      <c r="C31" s="112"/>
      <c r="D31" s="112"/>
      <c r="E31" s="169" t="str">
        <f>IF(Y9="NO","",L15)</f>
        <v/>
      </c>
      <c r="F31" s="169"/>
      <c r="G31" s="169"/>
      <c r="H31" s="169"/>
      <c r="I31" s="129"/>
      <c r="J31" s="112"/>
      <c r="K31" s="112"/>
      <c r="L31" s="112"/>
      <c r="M31" s="170" t="e">
        <f>IF(データシート!H65&gt;0,"",データシート!H66)</f>
        <v>#VALUE!</v>
      </c>
      <c r="N31" s="170"/>
      <c r="O31" s="112"/>
      <c r="P31" s="112"/>
      <c r="Q31" s="165" t="str">
        <f>LEFT(TEXT(データシート２!O47,AC52&amp;"H:MM"),2)&amp;" "</f>
        <v xml:space="preserve"> 0 </v>
      </c>
      <c r="R31" s="165"/>
      <c r="S31" s="165"/>
      <c r="T31" s="125" t="str">
        <f>RIGHT(TEXT(データシート２!O47,AC52&amp;"H:MM"),2)</f>
        <v>00</v>
      </c>
      <c r="U31" s="127" t="e">
        <f>IF(データシート２!S47="",データシート２!P47,データシート２!S47)</f>
        <v>#VALUE!</v>
      </c>
      <c r="V31" s="106" t="e">
        <f>IF(U31&gt;200,"   ←キロオーバーが出ています","")</f>
        <v>#VALUE!</v>
      </c>
      <c r="W31" s="98"/>
      <c r="AC31" s="95"/>
      <c r="AD31" s="95"/>
      <c r="AE31" s="95"/>
      <c r="AF31" s="95"/>
      <c r="AG31" s="133"/>
    </row>
    <row r="32" spans="1:33" ht="11.1" customHeight="1">
      <c r="A32" s="112"/>
      <c r="B32" s="112"/>
      <c r="C32" s="112"/>
      <c r="D32" s="112"/>
      <c r="E32" s="112"/>
      <c r="F32" s="112"/>
      <c r="G32" s="112"/>
      <c r="H32" s="112"/>
      <c r="I32" s="112"/>
      <c r="J32" s="112"/>
      <c r="K32" s="112"/>
      <c r="L32" s="112"/>
      <c r="M32" s="112"/>
      <c r="N32" s="112"/>
      <c r="O32" s="112"/>
      <c r="P32" s="112"/>
      <c r="Q32" s="112"/>
      <c r="R32" s="112"/>
      <c r="S32" s="112"/>
      <c r="T32" s="112"/>
      <c r="U32" s="112"/>
      <c r="W32" s="34"/>
      <c r="AC32" s="95"/>
      <c r="AD32" s="95"/>
      <c r="AE32" s="95"/>
      <c r="AF32" s="95"/>
      <c r="AG32" s="133"/>
    </row>
    <row r="33" spans="1:33" ht="15.75" customHeight="1">
      <c r="A33" s="112"/>
      <c r="B33" s="112"/>
      <c r="C33" s="112"/>
      <c r="D33" s="112"/>
      <c r="E33" s="149" t="str">
        <f>IF(Y8="通常勤務","",Y8)</f>
        <v/>
      </c>
      <c r="F33" s="149"/>
      <c r="G33" s="149"/>
      <c r="H33" s="149"/>
      <c r="I33" s="130"/>
      <c r="J33" s="112"/>
      <c r="K33" s="112"/>
      <c r="L33" s="112"/>
      <c r="M33" s="164"/>
      <c r="N33" s="164"/>
      <c r="O33" s="112"/>
      <c r="P33" s="112"/>
      <c r="Q33" s="124"/>
      <c r="R33" s="112"/>
      <c r="S33" s="124"/>
      <c r="T33" s="124"/>
      <c r="U33" s="124"/>
      <c r="W33" s="18" t="s">
        <v>54</v>
      </c>
      <c r="Y33" s="42" t="s">
        <v>57</v>
      </c>
      <c r="AC33" s="95"/>
      <c r="AD33" s="95"/>
      <c r="AE33" s="95"/>
      <c r="AF33" s="95"/>
      <c r="AG33" s="133"/>
    </row>
    <row r="34" spans="1:33" ht="17.45" customHeight="1">
      <c r="A34" s="112"/>
      <c r="B34" s="112"/>
      <c r="C34" s="112"/>
      <c r="D34" s="112"/>
      <c r="E34" s="149"/>
      <c r="F34" s="149"/>
      <c r="G34" s="149"/>
      <c r="H34" s="149"/>
      <c r="I34" s="112"/>
      <c r="J34" s="112"/>
      <c r="K34" s="112"/>
      <c r="L34" s="112"/>
      <c r="M34" s="112"/>
      <c r="N34" s="112"/>
      <c r="O34" s="112"/>
      <c r="P34" s="112"/>
      <c r="Q34" s="112"/>
      <c r="R34" s="112"/>
      <c r="S34" s="112"/>
      <c r="T34" s="112"/>
      <c r="U34" s="112"/>
      <c r="W34" s="18" t="s">
        <v>55</v>
      </c>
      <c r="Y34" s="42" t="s">
        <v>57</v>
      </c>
      <c r="Z34" s="41"/>
      <c r="AC34" s="95"/>
      <c r="AD34" s="95"/>
      <c r="AE34" s="95"/>
      <c r="AF34" s="95"/>
      <c r="AG34" s="133"/>
    </row>
    <row r="35" spans="1:33" ht="14.25" customHeight="1">
      <c r="A35" s="112"/>
      <c r="B35" s="112"/>
      <c r="C35" s="112"/>
      <c r="D35" s="112"/>
      <c r="E35" s="112"/>
      <c r="F35" s="112"/>
      <c r="G35" s="112"/>
      <c r="H35" s="168" t="e">
        <f>"   "&amp;IF(データシート２!AD47&gt;0,IF(データシート２!AF47=0,"",IF(データシート２!AF47&lt;データシート!$K$65,LEFT(TEXT(データシート２!AF47,"h:mm"),1),LEFT(TEXT(データシート２!AF47,"h:mm"),2))),IF(データシート２!AC47=0,"",IF(データシート２!AC47&lt;データシート!$K$65,LEFT(TEXT(データシート２!AC47,"h:mm"),1),LEFT(TEXT(データシート２!AC47,"h:mm"),2))))</f>
        <v>#VALUE!</v>
      </c>
      <c r="I35" s="168"/>
      <c r="J35" s="168"/>
      <c r="K35" s="168"/>
      <c r="L35" s="168" t="e">
        <f>IF(データシート２!AD47&gt;0,IF(データシート２!AF47=0,"",IF(データシート２!AF47&lt;データシート!$K$65,RIGHT(TEXT(データシート２!AF47,"h:mm"),2),RIGHT(TEXT(データシート２!AF47,"h:mm"),2))),IF(データシート２!AC47=0,"",RIGHT(TEXT(データシート２!AC47,"h:mm"),2)))</f>
        <v>#VALUE!</v>
      </c>
      <c r="M35" s="168"/>
      <c r="N35" s="168"/>
      <c r="O35" s="131"/>
      <c r="P35" s="112"/>
      <c r="Q35" s="112"/>
      <c r="R35" s="148" t="str">
        <f>IF($X$8="","",LEFT(VLOOKUP($X$8,データシート!$B$69:'データシート'!$X$652,18,FALSE ),2))</f>
        <v/>
      </c>
      <c r="S35" s="148"/>
      <c r="T35" s="112"/>
      <c r="U35" s="125" t="str">
        <f>IF($X$8="","",RIGHT(VLOOKUP($X$8,データシート!$B$69:'データシート'!$X$652,18,FALSE ),2))</f>
        <v/>
      </c>
      <c r="W35" s="64" t="s">
        <v>89</v>
      </c>
      <c r="X35" s="154"/>
      <c r="Y35" s="154"/>
      <c r="Z35" s="141"/>
      <c r="AA35" s="65" t="s">
        <v>105</v>
      </c>
      <c r="AB35" s="42" t="s">
        <v>57</v>
      </c>
      <c r="AC35" s="95" t="e">
        <f>IF(AE35&lt;AF35," ","")</f>
        <v>#VALUE!</v>
      </c>
      <c r="AD35" s="95" t="s">
        <v>97</v>
      </c>
      <c r="AE35" s="94" t="e">
        <f>VALUE(データシート２!I31)</f>
        <v>#VALUE!</v>
      </c>
      <c r="AF35" s="95">
        <f>VALUE((データシート!$K$65))</f>
        <v>0.41666666666666669</v>
      </c>
      <c r="AG35" s="133"/>
    </row>
    <row r="36" spans="1:33" ht="17.25" customHeight="1">
      <c r="A36" s="112"/>
      <c r="B36" s="112"/>
      <c r="C36" s="112"/>
      <c r="D36" s="112"/>
      <c r="E36" s="112"/>
      <c r="F36" s="112"/>
      <c r="G36" s="112"/>
      <c r="H36" s="168"/>
      <c r="I36" s="168"/>
      <c r="J36" s="168"/>
      <c r="K36" s="168"/>
      <c r="L36" s="168"/>
      <c r="M36" s="168"/>
      <c r="N36" s="168"/>
      <c r="O36" s="112"/>
      <c r="P36" s="112"/>
      <c r="Q36" s="112"/>
      <c r="R36" s="148" t="str">
        <f>IF($X$8="","",LEFT(VLOOKUP($X$8,データシート!$B$69:'データシート'!$X$652,19,FALSE ),2))</f>
        <v/>
      </c>
      <c r="S36" s="148"/>
      <c r="T36" s="112"/>
      <c r="U36" s="125" t="str">
        <f>IF($X$8="","",RIGHT(VLOOKUP($X$8,データシート!$B$69:'データシート'!$X$652,19,FALSE ),2))</f>
        <v/>
      </c>
      <c r="W36" s="66" t="s">
        <v>49</v>
      </c>
      <c r="X36" s="154"/>
      <c r="Y36" s="154"/>
      <c r="AA36" s="65"/>
      <c r="AB36" s="70"/>
      <c r="AC36" s="95" t="e">
        <f>IF(AE36&lt;AF36," ","")</f>
        <v>#VALUE!</v>
      </c>
      <c r="AD36" s="95" t="s">
        <v>98</v>
      </c>
      <c r="AE36" s="94" t="e">
        <f>VALUE(データシート２!K31)</f>
        <v>#VALUE!</v>
      </c>
      <c r="AF36" s="95">
        <f>VALUE((データシート!$K$65))</f>
        <v>0.41666666666666669</v>
      </c>
      <c r="AG36" s="133"/>
    </row>
    <row r="37" spans="1:33" ht="15.95" customHeight="1">
      <c r="A37" s="112"/>
      <c r="B37" s="112"/>
      <c r="C37" s="112"/>
      <c r="D37" s="112"/>
      <c r="E37" s="112"/>
      <c r="F37" s="112"/>
      <c r="G37" s="112"/>
      <c r="H37" s="164"/>
      <c r="I37" s="164"/>
      <c r="J37" s="164"/>
      <c r="K37" s="164"/>
      <c r="L37" s="112"/>
      <c r="M37" s="112"/>
      <c r="N37" s="112"/>
      <c r="O37" s="112"/>
      <c r="P37" s="112"/>
      <c r="Q37" s="112"/>
      <c r="R37" s="175" t="str">
        <f>IF(データシート２!AB47=0,"",LEFT(TEXT(データシート２!AB47,"h:mm"),1))</f>
        <v/>
      </c>
      <c r="S37" s="175"/>
      <c r="T37" s="112"/>
      <c r="U37" s="168" t="str">
        <f>IF(データシート２!AB47=0,"",RIGHT(TEXT(データシート２!AB47,"h:mm"),2))</f>
        <v/>
      </c>
      <c r="W37" s="66" t="s">
        <v>49</v>
      </c>
      <c r="X37" s="154"/>
      <c r="Y37" s="154"/>
      <c r="AA37" s="104">
        <f>IF(AND(Y33="YES",Y34="YES"),"0:14",IF(AND(Y33="YES",Y34="NO"),"0:07",IF(AND(Y33="NO",Y34="YES"),"0:07",IF(AND(Y33="NO",Y34="NO"),0))))</f>
        <v>0</v>
      </c>
      <c r="AB37" s="95"/>
      <c r="AC37" s="95" t="e">
        <f>IF(AE37&lt;AF37," ","")</f>
        <v>#VALUE!</v>
      </c>
      <c r="AD37" s="95" t="s">
        <v>38</v>
      </c>
      <c r="AE37" s="95" t="e">
        <f>VALUE(データシート２!M31)</f>
        <v>#VALUE!</v>
      </c>
      <c r="AF37" s="95">
        <f>VALUE((データシート!$K$65))</f>
        <v>0.41666666666666669</v>
      </c>
      <c r="AG37" s="133"/>
    </row>
    <row r="38" spans="1:33" ht="17.25" customHeight="1">
      <c r="A38" s="112"/>
      <c r="B38" s="112"/>
      <c r="C38" s="112"/>
      <c r="D38" s="112"/>
      <c r="E38" s="112"/>
      <c r="F38" s="112"/>
      <c r="G38" s="112"/>
      <c r="H38" s="164"/>
      <c r="I38" s="164"/>
      <c r="J38" s="164"/>
      <c r="K38" s="164"/>
      <c r="L38" s="112"/>
      <c r="M38" s="112"/>
      <c r="N38" s="112"/>
      <c r="O38" s="112"/>
      <c r="P38" s="112"/>
      <c r="Q38" s="112"/>
      <c r="R38" s="175"/>
      <c r="S38" s="175"/>
      <c r="T38" s="112"/>
      <c r="U38" s="168"/>
      <c r="W38" s="66" t="s">
        <v>49</v>
      </c>
      <c r="X38" s="154"/>
      <c r="Y38" s="154"/>
      <c r="AA38" s="95" t="str">
        <f>IF(LEN(X35)&gt;=22,"0:0",IF(AND(Y33="YES",Y34="YES",AB35="YES"),"0:39",IF(AND(Y33="YES",Y34="NO",AB35="YES"),"0:32",IF(AND(Y33="NO",Y34="YES",AB35="YES"),"0:32",IF(AND(Y33="NO",Y34="NO",AB35="YES"),"0:25",IF(AND(Y33="YES",Y34="YES",AB35="NO"),"0:34",IF(AND(Y33="YES",Y34="NO",AB35="NO"),"0:27",IF(AND(Y33="NO",Y34="YES",AB35="NO"),"0:27",IF(AND(Y33="NO",Y34="NO",AB35="NO"),"0:20","")))))))))</f>
        <v>0:20</v>
      </c>
      <c r="AB38" s="103">
        <f>IF(AND(Y33="YES",Y34="YES"),5,IF(AND(Y33="YES",Y34="NO"),2.5,IF(AND(Y33="NO",Y34="YES"),2.5,IF(AND(Y33="NO",Y34="NO"),0))))</f>
        <v>0</v>
      </c>
      <c r="AC38" s="95" t="e">
        <f>IF(AE38&lt;AF38," ","")</f>
        <v>#VALUE!</v>
      </c>
      <c r="AD38" s="95" t="s">
        <v>39</v>
      </c>
      <c r="AE38" s="94" t="e">
        <f>VALUE(データシート２!N31)</f>
        <v>#VALUE!</v>
      </c>
      <c r="AF38" s="95">
        <f>VALUE((データシート!$K$65))</f>
        <v>0.41666666666666669</v>
      </c>
      <c r="AG38" s="133"/>
    </row>
    <row r="39" spans="1:33" ht="16.5" customHeight="1">
      <c r="A39" s="112"/>
      <c r="B39" s="112"/>
      <c r="C39" s="112"/>
      <c r="D39" s="112"/>
      <c r="E39" s="112"/>
      <c r="F39" s="112"/>
      <c r="G39" s="112"/>
      <c r="H39" s="168" t="e">
        <f>"   "&amp;IF(AND(データシート２!AF52&gt;0,データシート２!AF52=データシート２!AD47),"",IF(AND(データシート２!AF52&gt;0,データシート２!AF52&lt;データシート!$K$65),LEFT(TEXT(データシート２!AF52,"h:mm"),1),IF(データシート２!AF52&gt;データシート!$K$65,LEFT(TEXT(データシート２!AF52,"h:mm"),2),IF(データシート２!X48="","",IF(データシート２!X48&lt;データシート!$K$65,LEFT(TEXT(データシート２!X48,"h:mm"),1),LEFT(TEXT(データシート２!X48,"h:mm"),2))))))</f>
        <v>#VALUE!</v>
      </c>
      <c r="I39" s="168"/>
      <c r="J39" s="168"/>
      <c r="K39" s="168"/>
      <c r="L39" s="168" t="e">
        <f>IF(AND(データシート２!AF52&gt;0,データシート２!AF52=データシート２!AD47),"",IF(AND(データシート２!AF52&gt;0,データシート２!AF52&lt;データシート!$K$65),RIGHT(TEXT(データシート２!AF52,"h:mm"),2),IF(データシート２!AF52&gt;データシート!$K$65,RIGHT(TEXT(データシート２!AF52,"h:mm"),2),IF(データシート２!X48="","",IF(データシート２!X48&lt;データシート!$K$65,RIGHT(TEXT(データシート２!X48,"h:mm"),2))))))</f>
        <v>#VALUE!</v>
      </c>
      <c r="M39" s="168"/>
      <c r="N39" s="168"/>
      <c r="O39" s="112"/>
      <c r="P39" s="112"/>
      <c r="Q39" s="112"/>
      <c r="R39" s="112"/>
      <c r="S39" s="112"/>
      <c r="T39" s="112"/>
      <c r="U39" s="112"/>
      <c r="AC39" s="95" t="e">
        <f>IF(AE39&lt;AF39," ","")</f>
        <v>#VALUE!</v>
      </c>
      <c r="AD39" s="95" t="s">
        <v>181</v>
      </c>
      <c r="AE39" s="95" t="e">
        <f>VALUE(データシート２!O31)</f>
        <v>#VALUE!</v>
      </c>
      <c r="AF39" s="95">
        <f>VALUE((データシート!$K$65))</f>
        <v>0.41666666666666669</v>
      </c>
      <c r="AG39" s="133"/>
    </row>
    <row r="40" spans="1:33" ht="15" customHeight="1">
      <c r="A40" s="112"/>
      <c r="B40" s="112"/>
      <c r="C40" s="112"/>
      <c r="D40" s="112"/>
      <c r="E40" s="112"/>
      <c r="F40" s="112"/>
      <c r="G40" s="112"/>
      <c r="H40" s="168"/>
      <c r="I40" s="168"/>
      <c r="J40" s="168"/>
      <c r="K40" s="168"/>
      <c r="L40" s="168"/>
      <c r="M40" s="168"/>
      <c r="N40" s="168"/>
      <c r="O40" s="112"/>
      <c r="P40" s="112"/>
      <c r="Q40" s="112"/>
      <c r="R40" s="112"/>
      <c r="S40" s="112"/>
      <c r="T40" s="112"/>
      <c r="U40" s="112"/>
      <c r="AC40" s="95"/>
      <c r="AD40" s="95"/>
      <c r="AE40" s="95" t="e">
        <f>VALUE(データシート２!O31)</f>
        <v>#VALUE!</v>
      </c>
      <c r="AF40" s="95">
        <f>VALUE((データシート!$K$65))</f>
        <v>0.41666666666666669</v>
      </c>
      <c r="AG40" s="133"/>
    </row>
    <row r="41" spans="1:33" ht="18" customHeight="1">
      <c r="A41" s="112"/>
      <c r="B41" s="112"/>
      <c r="C41" s="112"/>
      <c r="D41" s="112"/>
      <c r="E41" s="112" t="str">
        <f>IF(AB54="YES",X54,IF(AB55="YES",X55,IF(AB56="YES",X56,IF(AB57="YES",X57,""))))</f>
        <v/>
      </c>
      <c r="F41" s="112"/>
      <c r="G41" s="112"/>
      <c r="H41" s="112"/>
      <c r="I41" s="112"/>
      <c r="J41" s="112"/>
      <c r="K41" s="112"/>
      <c r="L41" s="112"/>
      <c r="M41" s="112"/>
      <c r="N41" s="112"/>
      <c r="O41" s="112"/>
      <c r="P41" s="112"/>
      <c r="Q41" s="112"/>
      <c r="R41" s="112"/>
      <c r="S41" s="112"/>
      <c r="T41" s="112"/>
      <c r="U41" s="112"/>
      <c r="W41" s="18" t="s">
        <v>54</v>
      </c>
      <c r="Y41" s="42" t="s">
        <v>57</v>
      </c>
      <c r="AC41" s="95"/>
      <c r="AD41" s="95"/>
      <c r="AE41" s="95"/>
      <c r="AF41" s="95"/>
      <c r="AG41" s="133"/>
    </row>
    <row r="42" spans="1:33">
      <c r="A42" s="112"/>
      <c r="B42" s="112"/>
      <c r="C42" s="112"/>
      <c r="D42" s="112"/>
      <c r="E42" s="112" t="str">
        <f>IF(AND(E41&lt;&gt;"",AB54="YES",AB55="YES"),X55,IF(AND(E41&lt;&gt;"",AB54="YES",AB56="YES"),X56,IF(AND(E41&lt;&gt;"",AB54="YES",AB57="YES"),X57,IF(AND(E41&lt;&gt;"",AB55="YES",AB56="YES"),X56,IF(AND(E41&lt;&gt;"",AB55="YES",AB57="YES"),X57,IF(AND(E41&lt;&gt;"",AB56="YES",AB57="YES"),X57,""))))))</f>
        <v/>
      </c>
      <c r="F42" s="112"/>
      <c r="G42" s="112"/>
      <c r="H42" s="112"/>
      <c r="I42" s="112"/>
      <c r="J42" s="112"/>
      <c r="K42" s="112"/>
      <c r="L42" s="112"/>
      <c r="M42" s="112"/>
      <c r="N42" s="112"/>
      <c r="O42" s="112"/>
      <c r="P42" s="112"/>
      <c r="Q42" s="112"/>
      <c r="R42" s="112" t="str">
        <f>IF(データシート２!R52="","",データシート２!R52)</f>
        <v/>
      </c>
      <c r="S42" s="112"/>
      <c r="T42" s="112"/>
      <c r="U42" s="112"/>
      <c r="W42" s="18" t="s">
        <v>55</v>
      </c>
      <c r="Y42" s="42" t="s">
        <v>57</v>
      </c>
      <c r="Z42" s="41"/>
      <c r="AC42" s="95"/>
      <c r="AD42" s="95"/>
      <c r="AE42" s="95"/>
      <c r="AF42" s="95"/>
      <c r="AG42" s="133"/>
    </row>
    <row r="43" spans="1:33" ht="14.25">
      <c r="A43" s="112"/>
      <c r="B43" s="112"/>
      <c r="C43" s="112"/>
      <c r="D43" s="112"/>
      <c r="E43" s="112" t="str">
        <f>IF(AND(E42&lt;&gt;"",AB54="YES",AB55="YES",AB56="YES"),X56,IF(AND(E42&lt;&gt;"",AB54="YES",AB55="YES",AB57="YES"),X57,IF(AND(E42&lt;&gt;"",AB54="YES",AB56="YES",AB57="YES"),X57,IF(AND(E42&lt;&gt;"",AB55="YES",AB56="YES",AB57="YES"),X57,""))))</f>
        <v/>
      </c>
      <c r="F43" s="112"/>
      <c r="G43" s="112"/>
      <c r="H43" s="112"/>
      <c r="I43" s="112"/>
      <c r="J43" s="112"/>
      <c r="K43" s="112"/>
      <c r="L43" s="112"/>
      <c r="M43" s="112"/>
      <c r="N43" s="112"/>
      <c r="O43" s="112"/>
      <c r="P43" s="112"/>
      <c r="Q43" s="112"/>
      <c r="R43" s="112" t="str">
        <f>IF(データシート２!R53="","",データシート２!R53)</f>
        <v>全実働時間   0:00</v>
      </c>
      <c r="S43" s="112"/>
      <c r="T43" s="112"/>
      <c r="U43" s="112"/>
      <c r="W43" s="64" t="s">
        <v>104</v>
      </c>
      <c r="X43" s="154"/>
      <c r="Y43" s="154"/>
      <c r="Z43" s="141"/>
      <c r="AA43" s="65" t="s">
        <v>105</v>
      </c>
      <c r="AB43" s="42" t="s">
        <v>239</v>
      </c>
      <c r="AC43" s="95" t="e">
        <f>IF(AE43&lt;AF43," ","")</f>
        <v>#VALUE!</v>
      </c>
      <c r="AD43" s="95" t="s">
        <v>97</v>
      </c>
      <c r="AE43" s="94" t="e">
        <f>VALUE(データシート２!I41)</f>
        <v>#VALUE!</v>
      </c>
      <c r="AF43" s="95">
        <f>VALUE((データシート!$K$65))</f>
        <v>0.41666666666666669</v>
      </c>
      <c r="AG43" s="133"/>
    </row>
    <row r="44" spans="1:33" ht="14.25">
      <c r="A44" s="112"/>
      <c r="B44" s="112"/>
      <c r="C44" s="112"/>
      <c r="D44" s="112"/>
      <c r="E44" s="112" t="str">
        <f>IF(AND(E43&lt;&gt;"",AB54="YES",AB55="YES",AB56="YES",AB57="YES"),X57,"")</f>
        <v/>
      </c>
      <c r="F44" s="112"/>
      <c r="G44" s="112"/>
      <c r="H44" s="112"/>
      <c r="I44" s="112"/>
      <c r="J44" s="112"/>
      <c r="K44" s="112"/>
      <c r="L44" s="112"/>
      <c r="M44" s="112"/>
      <c r="N44" s="112"/>
      <c r="O44" s="112"/>
      <c r="P44" s="112"/>
      <c r="Q44" s="112"/>
      <c r="R44" s="112"/>
      <c r="S44" s="112"/>
      <c r="T44" s="112"/>
      <c r="U44" s="112"/>
      <c r="W44" s="66" t="s">
        <v>49</v>
      </c>
      <c r="X44" s="154"/>
      <c r="Y44" s="154"/>
      <c r="AC44" s="95" t="e">
        <f>IF(AE44&lt;AF44," ","")</f>
        <v>#VALUE!</v>
      </c>
      <c r="AD44" s="95" t="s">
        <v>98</v>
      </c>
      <c r="AE44" s="94" t="e">
        <f>VALUE(データシート２!K41)</f>
        <v>#VALUE!</v>
      </c>
      <c r="AF44" s="95">
        <f>VALUE((データシート!$K$65))</f>
        <v>0.41666666666666669</v>
      </c>
      <c r="AG44" s="133"/>
    </row>
    <row r="45" spans="1:33" ht="14.25">
      <c r="A45" s="112"/>
      <c r="B45" s="112"/>
      <c r="C45" s="112"/>
      <c r="D45" s="112"/>
      <c r="E45" s="112"/>
      <c r="F45" s="112"/>
      <c r="G45" s="112"/>
      <c r="H45" s="112"/>
      <c r="I45" s="112"/>
      <c r="J45" s="112"/>
      <c r="K45" s="112"/>
      <c r="L45" s="112"/>
      <c r="M45" s="112"/>
      <c r="N45" s="112"/>
      <c r="O45" s="112"/>
      <c r="P45" s="112"/>
      <c r="Q45" s="112"/>
      <c r="R45" s="112"/>
      <c r="S45" s="112"/>
      <c r="T45" s="112"/>
      <c r="U45" s="112"/>
      <c r="W45" s="66" t="s">
        <v>49</v>
      </c>
      <c r="X45" s="154"/>
      <c r="Y45" s="154"/>
      <c r="AA45" s="104">
        <f>IF(AND(Y41="YES",Y42="YES"),"0:14",IF(AND(Y41="YES",Y42="NO"),"0:07",IF(AND(Y41="NO",Y42="YES"),"0:07",IF(AND(Y41="NO",Y42="NO"),0))))</f>
        <v>0</v>
      </c>
      <c r="AB45" s="95"/>
      <c r="AC45" s="95" t="e">
        <f>IF(AE45&lt;AF45," ","")</f>
        <v>#VALUE!</v>
      </c>
      <c r="AD45" s="95" t="s">
        <v>38</v>
      </c>
      <c r="AE45" s="94" t="e">
        <f>VALUE(データシート２!M41)</f>
        <v>#VALUE!</v>
      </c>
      <c r="AF45" s="95">
        <f>VALUE((データシート!$K$65))</f>
        <v>0.41666666666666669</v>
      </c>
      <c r="AG45" s="133"/>
    </row>
    <row r="46" spans="1:33" ht="14.25">
      <c r="A46" s="112"/>
      <c r="B46" s="112"/>
      <c r="C46" s="112"/>
      <c r="D46" s="112"/>
      <c r="E46" s="112"/>
      <c r="F46" s="112"/>
      <c r="G46" s="112"/>
      <c r="H46" s="112"/>
      <c r="I46" s="112"/>
      <c r="J46" s="112"/>
      <c r="K46" s="112"/>
      <c r="L46" s="112"/>
      <c r="M46" s="112"/>
      <c r="N46" s="112"/>
      <c r="O46" s="112"/>
      <c r="P46" s="112"/>
      <c r="Q46" s="112"/>
      <c r="R46" s="112"/>
      <c r="S46" s="112"/>
      <c r="T46" s="112"/>
      <c r="U46" s="112"/>
      <c r="W46" s="66" t="s">
        <v>49</v>
      </c>
      <c r="X46" s="154"/>
      <c r="Y46" s="154"/>
      <c r="AA46" s="95" t="str">
        <f>IF(LEN(X43)&gt;=22,"0:0",IF(AND(Y41="YES",Y42="YES",AB43="YES"),"0:39",IF(AND(Y41="YES",Y42="NO",AB43="YES"),"0:32",IF(AND(Y41="NO",Y42="YES",AB43="YES"),"0:32",IF(AND(Y41="NO",Y42="NO",AB43="YES"),"0:25",IF(AND(Y41="YES",Y42="YES",AB43="NO"),"0:34",IF(AND(Y41="YES",Y42="NO",AB43="NO"),"0:27",IF(AND(Y41="NO",Y42="YES",AB43="NO"),"0:27",IF(AND(Y41="NO",Y42="NO",AB43="NO"),"0:20","")))))))))</f>
        <v>0:25</v>
      </c>
      <c r="AB46" s="103">
        <f>IF(AND(Y41="YES",Y42="YES"),5,IF(AND(Y41="YES",Y42="NO"),2.5,IF(AND(Y41="NO",Y42="YES"),2.5,IF(AND(Y41="NO",Y42="NO"),0))))</f>
        <v>0</v>
      </c>
      <c r="AC46" s="95" t="e">
        <f>IF(AE46&lt;AF46," ","")</f>
        <v>#VALUE!</v>
      </c>
      <c r="AD46" s="95" t="s">
        <v>39</v>
      </c>
      <c r="AE46" s="95" t="e">
        <f>VALUE(データシート２!N41)</f>
        <v>#VALUE!</v>
      </c>
      <c r="AF46" s="95">
        <f>VALUE((データシート!$K$65))</f>
        <v>0.41666666666666669</v>
      </c>
      <c r="AG46" s="133"/>
    </row>
    <row r="47" spans="1:33">
      <c r="A47" s="112"/>
      <c r="B47" s="112"/>
      <c r="C47" s="112"/>
      <c r="D47" s="112"/>
      <c r="E47" s="112"/>
      <c r="F47" s="112"/>
      <c r="G47" s="112"/>
      <c r="H47" s="112"/>
      <c r="I47" s="112"/>
      <c r="J47" s="112"/>
      <c r="K47" s="112"/>
      <c r="L47" s="112"/>
      <c r="M47" s="112"/>
      <c r="N47" s="112"/>
      <c r="O47" s="112"/>
      <c r="P47" s="112"/>
      <c r="Q47" s="112"/>
      <c r="R47" s="112"/>
      <c r="S47" s="112"/>
      <c r="T47" s="112"/>
      <c r="U47" s="112"/>
      <c r="AC47" s="95" t="e">
        <f>IF(AE47&lt;AF47," ","")</f>
        <v>#VALUE!</v>
      </c>
      <c r="AD47" s="95" t="s">
        <v>40</v>
      </c>
      <c r="AE47" s="94" t="e">
        <f>VALUE(データシート２!O41)</f>
        <v>#VALUE!</v>
      </c>
      <c r="AF47" s="95">
        <f>VALUE((データシート!$K$65))</f>
        <v>0.41666666666666669</v>
      </c>
      <c r="AG47" s="133"/>
    </row>
    <row r="48" spans="1:33">
      <c r="A48" s="112"/>
      <c r="B48" s="112"/>
      <c r="C48" s="112"/>
      <c r="D48" s="112"/>
      <c r="E48" s="112"/>
      <c r="F48" s="112"/>
      <c r="G48" s="112"/>
      <c r="H48" s="112"/>
      <c r="I48" s="112"/>
      <c r="J48" s="112"/>
      <c r="K48" s="112"/>
      <c r="L48" s="112"/>
      <c r="M48" s="112"/>
      <c r="N48" s="112"/>
      <c r="O48" s="112"/>
      <c r="P48" s="112"/>
      <c r="Q48" s="112"/>
      <c r="R48" s="112"/>
      <c r="S48" s="112"/>
      <c r="T48" s="112"/>
      <c r="U48" s="112"/>
      <c r="AC48" s="95"/>
      <c r="AD48" s="95"/>
      <c r="AE48" s="95"/>
      <c r="AF48" s="95"/>
      <c r="AG48" s="133"/>
    </row>
    <row r="49" spans="23:33">
      <c r="AC49" s="95"/>
      <c r="AD49" s="95"/>
      <c r="AE49" s="95"/>
      <c r="AF49" s="95"/>
      <c r="AG49" s="133"/>
    </row>
    <row r="50" spans="23:33">
      <c r="AC50" s="95"/>
      <c r="AD50" s="95"/>
      <c r="AE50" s="95"/>
      <c r="AF50" s="95"/>
      <c r="AG50" s="133"/>
    </row>
    <row r="51" spans="23:33">
      <c r="AC51" s="95" t="e">
        <f>IF(AE51&lt;AF51," ","")</f>
        <v>#VALUE!</v>
      </c>
      <c r="AD51" s="95" t="s">
        <v>97</v>
      </c>
      <c r="AE51" s="94" t="e">
        <f>VALUE(データシート２!I47)</f>
        <v>#VALUE!</v>
      </c>
      <c r="AF51" s="95">
        <f>VALUE((データシート!$K$65))</f>
        <v>0.41666666666666669</v>
      </c>
      <c r="AG51" s="133"/>
    </row>
    <row r="52" spans="23:33">
      <c r="AC52" s="95" t="str">
        <f>IF(AE52&lt;AF52," ","")</f>
        <v xml:space="preserve"> </v>
      </c>
      <c r="AD52" s="95" t="s">
        <v>40</v>
      </c>
      <c r="AE52" s="94">
        <f>VALUE(データシート２!O47)</f>
        <v>0</v>
      </c>
      <c r="AF52" s="95">
        <f>VALUE((データシート!$K$65))</f>
        <v>0.41666666666666669</v>
      </c>
      <c r="AG52" s="133"/>
    </row>
    <row r="53" spans="23:33">
      <c r="W53" s="18" t="s">
        <v>182</v>
      </c>
      <c r="AC53" s="95" t="e">
        <f>IF(AE53&lt;AF53," ","")</f>
        <v>#VALUE!</v>
      </c>
      <c r="AD53" s="95" t="s">
        <v>39</v>
      </c>
      <c r="AE53" s="95" t="e">
        <f>VALUE(データシート２!K47)</f>
        <v>#VALUE!</v>
      </c>
      <c r="AF53" s="95">
        <f>VALUE((データシート!$K$65))</f>
        <v>0.41666666666666669</v>
      </c>
      <c r="AG53" s="133"/>
    </row>
    <row r="54" spans="23:33">
      <c r="W54" s="18">
        <v>1</v>
      </c>
      <c r="X54" s="18" t="s">
        <v>184</v>
      </c>
      <c r="AA54" s="48" t="s">
        <v>183</v>
      </c>
      <c r="AB54" s="42" t="s">
        <v>57</v>
      </c>
      <c r="AC54" s="95"/>
      <c r="AD54" s="95"/>
      <c r="AE54" s="95"/>
      <c r="AF54" s="95"/>
      <c r="AG54" s="133"/>
    </row>
    <row r="55" spans="23:33">
      <c r="W55" s="18">
        <v>2</v>
      </c>
      <c r="X55" s="18" t="s">
        <v>185</v>
      </c>
      <c r="AA55" s="48" t="s">
        <v>183</v>
      </c>
      <c r="AB55" s="42" t="s">
        <v>57</v>
      </c>
      <c r="AC55" s="95"/>
      <c r="AD55" s="95"/>
      <c r="AE55" s="95"/>
      <c r="AF55" s="95"/>
    </row>
    <row r="56" spans="23:33">
      <c r="W56" s="18">
        <v>3</v>
      </c>
      <c r="X56" s="70" t="str">
        <f>IF(データシート２!P49="0.0","　キロオーバー無し","  "&amp;データシート２!Q49)</f>
        <v>　キロオーバー無し</v>
      </c>
      <c r="AA56" s="48" t="s">
        <v>183</v>
      </c>
      <c r="AB56" s="42" t="s">
        <v>57</v>
      </c>
      <c r="AC56" s="95"/>
      <c r="AD56" s="95"/>
      <c r="AE56" s="95"/>
      <c r="AF56" s="95"/>
    </row>
    <row r="57" spans="23:33">
      <c r="W57" s="18">
        <v>4</v>
      </c>
      <c r="X57" s="70" t="s">
        <v>186</v>
      </c>
      <c r="AA57" s="48" t="s">
        <v>183</v>
      </c>
      <c r="AB57" s="42" t="s">
        <v>57</v>
      </c>
      <c r="AC57" s="95"/>
      <c r="AD57" s="95"/>
      <c r="AE57" s="95"/>
      <c r="AF57" s="95"/>
    </row>
  </sheetData>
  <dataConsolidate link="1"/>
  <mergeCells count="103">
    <mergeCell ref="W8:X8"/>
    <mergeCell ref="W9:X9"/>
    <mergeCell ref="Z6:AA6"/>
    <mergeCell ref="R37:S38"/>
    <mergeCell ref="U37:U38"/>
    <mergeCell ref="AA16:AA17"/>
    <mergeCell ref="S21:T22"/>
    <mergeCell ref="S24:T25"/>
    <mergeCell ref="S27:T28"/>
    <mergeCell ref="S11:U11"/>
    <mergeCell ref="S13:U13"/>
    <mergeCell ref="R15:S15"/>
    <mergeCell ref="X23:Y23"/>
    <mergeCell ref="AE16:AE17"/>
    <mergeCell ref="AF16:AF17"/>
    <mergeCell ref="AC16:AC17"/>
    <mergeCell ref="AD16:AD17"/>
    <mergeCell ref="AC23:AC24"/>
    <mergeCell ref="AD23:AD24"/>
    <mergeCell ref="H39:K40"/>
    <mergeCell ref="L39:N40"/>
    <mergeCell ref="L35:N36"/>
    <mergeCell ref="H35:K36"/>
    <mergeCell ref="R35:S35"/>
    <mergeCell ref="R36:S36"/>
    <mergeCell ref="Q21:R22"/>
    <mergeCell ref="E31:H31"/>
    <mergeCell ref="G27:H28"/>
    <mergeCell ref="M31:N31"/>
    <mergeCell ref="H37:K38"/>
    <mergeCell ref="X20:Y20"/>
    <mergeCell ref="X35:Y35"/>
    <mergeCell ref="X36:Y36"/>
    <mergeCell ref="K27:L28"/>
    <mergeCell ref="Q27:R28"/>
    <mergeCell ref="U29:U30"/>
    <mergeCell ref="U27:U28"/>
    <mergeCell ref="AD25:AD26"/>
    <mergeCell ref="AE25:AE26"/>
    <mergeCell ref="AF25:AF26"/>
    <mergeCell ref="AC25:AC26"/>
    <mergeCell ref="AC29:AC30"/>
    <mergeCell ref="AD29:AD30"/>
    <mergeCell ref="AE29:AE30"/>
    <mergeCell ref="AF29:AF30"/>
    <mergeCell ref="AE23:AE24"/>
    <mergeCell ref="AF23:AF24"/>
    <mergeCell ref="D21:F22"/>
    <mergeCell ref="G21:H22"/>
    <mergeCell ref="K21:L22"/>
    <mergeCell ref="D24:F25"/>
    <mergeCell ref="Q24:R25"/>
    <mergeCell ref="X13:Y13"/>
    <mergeCell ref="X14:Y14"/>
    <mergeCell ref="S18:T19"/>
    <mergeCell ref="X43:Y43"/>
    <mergeCell ref="X44:Y44"/>
    <mergeCell ref="X45:Y45"/>
    <mergeCell ref="X46:Y46"/>
    <mergeCell ref="X37:Y37"/>
    <mergeCell ref="X38:Y38"/>
    <mergeCell ref="H9:L9"/>
    <mergeCell ref="G24:H25"/>
    <mergeCell ref="K24:L25"/>
    <mergeCell ref="J15:K15"/>
    <mergeCell ref="L15:N16"/>
    <mergeCell ref="G18:H19"/>
    <mergeCell ref="K18:L19"/>
    <mergeCell ref="G15:I15"/>
    <mergeCell ref="P15:Q15"/>
    <mergeCell ref="M33:N33"/>
    <mergeCell ref="Q31:S31"/>
    <mergeCell ref="X28:Y28"/>
    <mergeCell ref="G11:K11"/>
    <mergeCell ref="G13:K13"/>
    <mergeCell ref="Q18:R19"/>
    <mergeCell ref="X25:Y26"/>
    <mergeCell ref="X27:Y27"/>
    <mergeCell ref="U18:U19"/>
    <mergeCell ref="B7:E7"/>
    <mergeCell ref="F7:G7"/>
    <mergeCell ref="H7:K7"/>
    <mergeCell ref="E33:H34"/>
    <mergeCell ref="AB16:AB17"/>
    <mergeCell ref="P29:T30"/>
    <mergeCell ref="AA25:AA26"/>
    <mergeCell ref="AB25:AB26"/>
    <mergeCell ref="AB29:AB30"/>
    <mergeCell ref="AA29:AA30"/>
    <mergeCell ref="Z15:Z16"/>
    <mergeCell ref="W17:W18"/>
    <mergeCell ref="X17:Y18"/>
    <mergeCell ref="Z17:Z18"/>
    <mergeCell ref="W25:W26"/>
    <mergeCell ref="W15:W16"/>
    <mergeCell ref="X15:Y16"/>
    <mergeCell ref="X24:Y24"/>
    <mergeCell ref="U24:U25"/>
    <mergeCell ref="C15:F16"/>
    <mergeCell ref="D18:F19"/>
    <mergeCell ref="D27:F28"/>
    <mergeCell ref="Z25:Z26"/>
    <mergeCell ref="U21:U22"/>
  </mergeCells>
  <phoneticPr fontId="1"/>
  <pageMargins left="0.7" right="0.7" top="0.75" bottom="0.75" header="0.3" footer="0.3"/>
  <pageSetup paperSize="9" orientation="portrait" horizontalDpi="4294967293" verticalDpi="4294967293" r:id="rId1"/>
  <drawing r:id="rId2"/>
  <legacyDrawing r:id="rId3"/>
  <oleObjects>
    <mc:AlternateContent xmlns:mc="http://schemas.openxmlformats.org/markup-compatibility/2006">
      <mc:Choice Requires="x14">
        <oleObject progId="Word.Document.12" shapeId="1026" r:id="rId4">
          <objectPr defaultSize="0" print="0" r:id="rId5">
            <anchor moveWithCells="1">
              <from>
                <xdr:col>0</xdr:col>
                <xdr:colOff>28575</xdr:colOff>
                <xdr:row>17</xdr:row>
                <xdr:rowOff>66675</xdr:rowOff>
              </from>
              <to>
                <xdr:col>3</xdr:col>
                <xdr:colOff>142875</xdr:colOff>
                <xdr:row>18</xdr:row>
                <xdr:rowOff>152400</xdr:rowOff>
              </to>
            </anchor>
          </objectPr>
        </oleObject>
      </mc:Choice>
      <mc:Fallback>
        <oleObject progId="Word.Document.12" shapeId="1026" r:id="rId4"/>
      </mc:Fallback>
    </mc:AlternateContent>
    <mc:AlternateContent xmlns:mc="http://schemas.openxmlformats.org/markup-compatibility/2006">
      <mc:Choice Requires="x14">
        <oleObject progId="Word.Document.12" shapeId="1027" r:id="rId6">
          <objectPr defaultSize="0" print="0" r:id="rId7">
            <anchor moveWithCells="1">
              <from>
                <xdr:col>0</xdr:col>
                <xdr:colOff>19050</xdr:colOff>
                <xdr:row>20</xdr:row>
                <xdr:rowOff>76200</xdr:rowOff>
              </from>
              <to>
                <xdr:col>3</xdr:col>
                <xdr:colOff>9525</xdr:colOff>
                <xdr:row>21</xdr:row>
                <xdr:rowOff>123825</xdr:rowOff>
              </to>
            </anchor>
          </objectPr>
        </oleObject>
      </mc:Choice>
      <mc:Fallback>
        <oleObject progId="Word.Document.12" shapeId="1027" r:id="rId6"/>
      </mc:Fallback>
    </mc:AlternateContent>
    <mc:AlternateContent xmlns:mc="http://schemas.openxmlformats.org/markup-compatibility/2006">
      <mc:Choice Requires="x14">
        <oleObject progId="Word.Document.12" shapeId="1028" r:id="rId8">
          <objectPr defaultSize="0" print="0" r:id="rId9">
            <anchor moveWithCells="1">
              <from>
                <xdr:col>0</xdr:col>
                <xdr:colOff>9525</xdr:colOff>
                <xdr:row>23</xdr:row>
                <xdr:rowOff>76200</xdr:rowOff>
              </from>
              <to>
                <xdr:col>3</xdr:col>
                <xdr:colOff>47625</xdr:colOff>
                <xdr:row>24</xdr:row>
                <xdr:rowOff>133350</xdr:rowOff>
              </to>
            </anchor>
          </objectPr>
        </oleObject>
      </mc:Choice>
      <mc:Fallback>
        <oleObject progId="Word.Document.12" shapeId="1028" r:id="rId8"/>
      </mc:Fallback>
    </mc:AlternateContent>
    <mc:AlternateContent xmlns:mc="http://schemas.openxmlformats.org/markup-compatibility/2006">
      <mc:Choice Requires="x14">
        <oleObject progId="Word.Document.12" shapeId="1029" r:id="rId10">
          <objectPr defaultSize="0" print="0" r:id="rId11">
            <anchor moveWithCells="1">
              <from>
                <xdr:col>11</xdr:col>
                <xdr:colOff>142875</xdr:colOff>
                <xdr:row>13</xdr:row>
                <xdr:rowOff>104775</xdr:rowOff>
              </from>
              <to>
                <xdr:col>13</xdr:col>
                <xdr:colOff>104775</xdr:colOff>
                <xdr:row>14</xdr:row>
                <xdr:rowOff>114300</xdr:rowOff>
              </to>
            </anchor>
          </objectPr>
        </oleObject>
      </mc:Choice>
      <mc:Fallback>
        <oleObject progId="Word.Document.12" shapeId="1029" r:id="rId10"/>
      </mc:Fallback>
    </mc:AlternateContent>
    <mc:AlternateContent xmlns:mc="http://schemas.openxmlformats.org/markup-compatibility/2006">
      <mc:Choice Requires="x14">
        <oleObject progId="Word.Document.12" shapeId="1030" r:id="rId12">
          <objectPr defaultSize="0" print="0" r:id="rId13">
            <anchor moveWithCells="1">
              <from>
                <xdr:col>18</xdr:col>
                <xdr:colOff>200025</xdr:colOff>
                <xdr:row>14</xdr:row>
                <xdr:rowOff>0</xdr:rowOff>
              </from>
              <to>
                <xdr:col>20</xdr:col>
                <xdr:colOff>76200</xdr:colOff>
                <xdr:row>15</xdr:row>
                <xdr:rowOff>76200</xdr:rowOff>
              </to>
            </anchor>
          </objectPr>
        </oleObject>
      </mc:Choice>
      <mc:Fallback>
        <oleObject progId="Word.Document.12" shapeId="1030" r:id="rId12"/>
      </mc:Fallback>
    </mc:AlternateContent>
    <mc:AlternateContent xmlns:mc="http://schemas.openxmlformats.org/markup-compatibility/2006">
      <mc:Choice Requires="x14">
        <oleObject progId="Word.Document.12" shapeId="1031" r:id="rId14">
          <objectPr defaultSize="0" print="0" r:id="rId15">
            <anchor moveWithCells="1">
              <from>
                <xdr:col>0</xdr:col>
                <xdr:colOff>19050</xdr:colOff>
                <xdr:row>29</xdr:row>
                <xdr:rowOff>38100</xdr:rowOff>
              </from>
              <to>
                <xdr:col>3</xdr:col>
                <xdr:colOff>95250</xdr:colOff>
                <xdr:row>31</xdr:row>
                <xdr:rowOff>28575</xdr:rowOff>
              </to>
            </anchor>
          </objectPr>
        </oleObject>
      </mc:Choice>
      <mc:Fallback>
        <oleObject progId="Word.Document.12" shapeId="1031" r:id="rId14"/>
      </mc:Fallback>
    </mc:AlternateContent>
    <mc:AlternateContent xmlns:mc="http://schemas.openxmlformats.org/markup-compatibility/2006">
      <mc:Choice Requires="x14">
        <oleObject progId="Word.Document.12" shapeId="1032" r:id="rId16">
          <objectPr defaultSize="0" print="0" r:id="rId17">
            <anchor moveWithCells="1">
              <from>
                <xdr:col>10</xdr:col>
                <xdr:colOff>19050</xdr:colOff>
                <xdr:row>29</xdr:row>
                <xdr:rowOff>47625</xdr:rowOff>
              </from>
              <to>
                <xdr:col>11</xdr:col>
                <xdr:colOff>19050</xdr:colOff>
                <xdr:row>31</xdr:row>
                <xdr:rowOff>38100</xdr:rowOff>
              </to>
            </anchor>
          </objectPr>
        </oleObject>
      </mc:Choice>
      <mc:Fallback>
        <oleObject progId="Word.Document.12" shapeId="1032" r:id="rId16"/>
      </mc:Fallback>
    </mc:AlternateContent>
    <mc:AlternateContent xmlns:mc="http://schemas.openxmlformats.org/markup-compatibility/2006">
      <mc:Choice Requires="x14">
        <oleObject progId="Word.Document.12" shapeId="1033" r:id="rId18">
          <objectPr defaultSize="0" print="0" r:id="rId19">
            <anchor moveWithCells="1">
              <from>
                <xdr:col>15</xdr:col>
                <xdr:colOff>9525</xdr:colOff>
                <xdr:row>29</xdr:row>
                <xdr:rowOff>47625</xdr:rowOff>
              </from>
              <to>
                <xdr:col>17</xdr:col>
                <xdr:colOff>9525</xdr:colOff>
                <xdr:row>31</xdr:row>
                <xdr:rowOff>38100</xdr:rowOff>
              </to>
            </anchor>
          </objectPr>
        </oleObject>
      </mc:Choice>
      <mc:Fallback>
        <oleObject progId="Word.Document.12" shapeId="1033" r:id="rId18"/>
      </mc:Fallback>
    </mc:AlternateContent>
    <mc:AlternateContent xmlns:mc="http://schemas.openxmlformats.org/markup-compatibility/2006">
      <mc:Choice Requires="x14">
        <oleObject progId="Word.Document.12" shapeId="1034" r:id="rId20">
          <objectPr defaultSize="0" print="0" r:id="rId21">
            <anchor moveWithCells="1">
              <from>
                <xdr:col>4</xdr:col>
                <xdr:colOff>133350</xdr:colOff>
                <xdr:row>34</xdr:row>
                <xdr:rowOff>95250</xdr:rowOff>
              </from>
              <to>
                <xdr:col>6</xdr:col>
                <xdr:colOff>28575</xdr:colOff>
                <xdr:row>35</xdr:row>
                <xdr:rowOff>142875</xdr:rowOff>
              </to>
            </anchor>
          </objectPr>
        </oleObject>
      </mc:Choice>
      <mc:Fallback>
        <oleObject progId="Word.Document.12" shapeId="1034" r:id="rId20"/>
      </mc:Fallback>
    </mc:AlternateContent>
    <mc:AlternateContent xmlns:mc="http://schemas.openxmlformats.org/markup-compatibility/2006">
      <mc:Choice Requires="x14">
        <oleObject progId="Word.Document.12" shapeId="1035" r:id="rId22">
          <objectPr defaultSize="0" print="0" r:id="rId23">
            <anchor moveWithCells="1">
              <from>
                <xdr:col>5</xdr:col>
                <xdr:colOff>0</xdr:colOff>
                <xdr:row>36</xdr:row>
                <xdr:rowOff>104775</xdr:rowOff>
              </from>
              <to>
                <xdr:col>7</xdr:col>
                <xdr:colOff>9525</xdr:colOff>
                <xdr:row>37</xdr:row>
                <xdr:rowOff>133350</xdr:rowOff>
              </to>
            </anchor>
          </objectPr>
        </oleObject>
      </mc:Choice>
      <mc:Fallback>
        <oleObject progId="Word.Document.12" shapeId="1035" r:id="rId22"/>
      </mc:Fallback>
    </mc:AlternateContent>
    <mc:AlternateContent xmlns:mc="http://schemas.openxmlformats.org/markup-compatibility/2006">
      <mc:Choice Requires="x14">
        <oleObject progId="Word.Document.12" shapeId="1036" r:id="rId24">
          <objectPr defaultSize="0" print="0" r:id="rId25">
            <anchor moveWithCells="1">
              <from>
                <xdr:col>5</xdr:col>
                <xdr:colOff>0</xdr:colOff>
                <xdr:row>38</xdr:row>
                <xdr:rowOff>114300</xdr:rowOff>
              </from>
              <to>
                <xdr:col>7</xdr:col>
                <xdr:colOff>9525</xdr:colOff>
                <xdr:row>39</xdr:row>
                <xdr:rowOff>142875</xdr:rowOff>
              </to>
            </anchor>
          </objectPr>
        </oleObject>
      </mc:Choice>
      <mc:Fallback>
        <oleObject progId="Word.Document.12" shapeId="1036" r:id="rId24"/>
      </mc:Fallback>
    </mc:AlternateContent>
    <mc:AlternateContent xmlns:mc="http://schemas.openxmlformats.org/markup-compatibility/2006">
      <mc:Choice Requires="x14">
        <oleObject progId="Word.Document.12" shapeId="1037" r:id="rId26">
          <objectPr defaultSize="0" print="0" r:id="rId27">
            <anchor moveWithCells="1">
              <from>
                <xdr:col>15</xdr:col>
                <xdr:colOff>85725</xdr:colOff>
                <xdr:row>34</xdr:row>
                <xdr:rowOff>76200</xdr:rowOff>
              </from>
              <to>
                <xdr:col>17</xdr:col>
                <xdr:colOff>38100</xdr:colOff>
                <xdr:row>35</xdr:row>
                <xdr:rowOff>133350</xdr:rowOff>
              </to>
            </anchor>
          </objectPr>
        </oleObject>
      </mc:Choice>
      <mc:Fallback>
        <oleObject progId="Word.Document.12" shapeId="1037" r:id="rId26"/>
      </mc:Fallback>
    </mc:AlternateContent>
    <mc:AlternateContent xmlns:mc="http://schemas.openxmlformats.org/markup-compatibility/2006">
      <mc:Choice Requires="x14">
        <oleObject progId="Word.Document.12" shapeId="1038" r:id="rId28">
          <objectPr defaultSize="0" print="0" r:id="rId29">
            <anchor moveWithCells="1">
              <from>
                <xdr:col>0</xdr:col>
                <xdr:colOff>38100</xdr:colOff>
                <xdr:row>36</xdr:row>
                <xdr:rowOff>95250</xdr:rowOff>
              </from>
              <to>
                <xdr:col>4</xdr:col>
                <xdr:colOff>0</xdr:colOff>
                <xdr:row>37</xdr:row>
                <xdr:rowOff>123825</xdr:rowOff>
              </to>
            </anchor>
          </objectPr>
        </oleObject>
      </mc:Choice>
      <mc:Fallback>
        <oleObject progId="Word.Document.12" shapeId="1038" r:id="rId28"/>
      </mc:Fallback>
    </mc:AlternateContent>
    <mc:AlternateContent xmlns:mc="http://schemas.openxmlformats.org/markup-compatibility/2006">
      <mc:Choice Requires="x14">
        <oleObject progId="Word.Document.12" shapeId="1039" r:id="rId30">
          <objectPr defaultSize="0" print="0" r:id="rId31">
            <anchor moveWithCells="1">
              <from>
                <xdr:col>15</xdr:col>
                <xdr:colOff>57150</xdr:colOff>
                <xdr:row>36</xdr:row>
                <xdr:rowOff>104775</xdr:rowOff>
              </from>
              <to>
                <xdr:col>17</xdr:col>
                <xdr:colOff>142875</xdr:colOff>
                <xdr:row>37</xdr:row>
                <xdr:rowOff>142875</xdr:rowOff>
              </to>
            </anchor>
          </objectPr>
        </oleObject>
      </mc:Choice>
      <mc:Fallback>
        <oleObject progId="Word.Document.12" shapeId="1039" r:id="rId30"/>
      </mc:Fallback>
    </mc:AlternateContent>
    <mc:AlternateContent xmlns:mc="http://schemas.openxmlformats.org/markup-compatibility/2006">
      <mc:Choice Requires="x14">
        <oleObject progId="Word.Document.12" shapeId="1040" r:id="rId32">
          <objectPr defaultSize="0" print="0" r:id="rId33">
            <anchor moveWithCells="1">
              <from>
                <xdr:col>0</xdr:col>
                <xdr:colOff>57150</xdr:colOff>
                <xdr:row>40</xdr:row>
                <xdr:rowOff>0</xdr:rowOff>
              </from>
              <to>
                <xdr:col>4</xdr:col>
                <xdr:colOff>133350</xdr:colOff>
                <xdr:row>43</xdr:row>
                <xdr:rowOff>152400</xdr:rowOff>
              </to>
            </anchor>
          </objectPr>
        </oleObject>
      </mc:Choice>
      <mc:Fallback>
        <oleObject progId="Word.Document.12" shapeId="1040" r:id="rId32"/>
      </mc:Fallback>
    </mc:AlternateContent>
    <mc:AlternateContent xmlns:mc="http://schemas.openxmlformats.org/markup-compatibility/2006">
      <mc:Choice Requires="x14">
        <oleObject progId="Word.Document.12" shapeId="1041" r:id="rId34">
          <objectPr defaultSize="0" print="0" r:id="rId35">
            <anchor moveWithCells="1">
              <from>
                <xdr:col>0</xdr:col>
                <xdr:colOff>0</xdr:colOff>
                <xdr:row>26</xdr:row>
                <xdr:rowOff>66675</xdr:rowOff>
              </from>
              <to>
                <xdr:col>3</xdr:col>
                <xdr:colOff>38100</xdr:colOff>
                <xdr:row>27</xdr:row>
                <xdr:rowOff>133350</xdr:rowOff>
              </to>
            </anchor>
          </objectPr>
        </oleObject>
      </mc:Choice>
      <mc:Fallback>
        <oleObject progId="Word.Document.12" shapeId="1041" r:id="rId34"/>
      </mc:Fallback>
    </mc:AlternateContent>
    <mc:AlternateContent xmlns:mc="http://schemas.openxmlformats.org/markup-compatibility/2006">
      <mc:Choice Requires="x14">
        <oleObject progId="Word.Document.12" shapeId="1042" r:id="rId36">
          <objectPr defaultSize="0" print="0" r:id="rId37">
            <anchor moveWithCells="1">
              <from>
                <xdr:col>0</xdr:col>
                <xdr:colOff>28575</xdr:colOff>
                <xdr:row>32</xdr:row>
                <xdr:rowOff>104775</xdr:rowOff>
              </from>
              <to>
                <xdr:col>3</xdr:col>
                <xdr:colOff>123825</xdr:colOff>
                <xdr:row>33</xdr:row>
                <xdr:rowOff>161925</xdr:rowOff>
              </to>
            </anchor>
          </objectPr>
        </oleObject>
      </mc:Choice>
      <mc:Fallback>
        <oleObject progId="Word.Document.12" shapeId="1042" r:id="rId36"/>
      </mc:Fallback>
    </mc:AlternateContent>
    <mc:AlternateContent xmlns:mc="http://schemas.openxmlformats.org/markup-compatibility/2006">
      <mc:Choice Requires="x14">
        <oleObject progId="Word.Document.12" shapeId="1043" r:id="rId38">
          <objectPr defaultSize="0" print="0" r:id="rId39">
            <anchor moveWithCells="1">
              <from>
                <xdr:col>2</xdr:col>
                <xdr:colOff>76200</xdr:colOff>
                <xdr:row>12</xdr:row>
                <xdr:rowOff>0</xdr:rowOff>
              </from>
              <to>
                <xdr:col>6</xdr:col>
                <xdr:colOff>9525</xdr:colOff>
                <xdr:row>13</xdr:row>
                <xdr:rowOff>76200</xdr:rowOff>
              </to>
            </anchor>
          </objectPr>
        </oleObject>
      </mc:Choice>
      <mc:Fallback>
        <oleObject progId="Word.Document.12" shapeId="1043" r:id="rId38"/>
      </mc:Fallback>
    </mc:AlternateContent>
    <mc:AlternateContent xmlns:mc="http://schemas.openxmlformats.org/markup-compatibility/2006">
      <mc:Choice Requires="x14">
        <oleObject progId="Word.Document.12" shapeId="1044" r:id="rId40">
          <objectPr defaultSize="0" print="0" r:id="rId41">
            <anchor moveWithCells="1">
              <from>
                <xdr:col>2</xdr:col>
                <xdr:colOff>85725</xdr:colOff>
                <xdr:row>10</xdr:row>
                <xdr:rowOff>19050</xdr:rowOff>
              </from>
              <to>
                <xdr:col>6</xdr:col>
                <xdr:colOff>19050</xdr:colOff>
                <xdr:row>11</xdr:row>
                <xdr:rowOff>9525</xdr:rowOff>
              </to>
            </anchor>
          </objectPr>
        </oleObject>
      </mc:Choice>
      <mc:Fallback>
        <oleObject progId="Word.Document.12" shapeId="1044" r:id="rId40"/>
      </mc:Fallback>
    </mc:AlternateContent>
    <mc:AlternateContent xmlns:mc="http://schemas.openxmlformats.org/markup-compatibility/2006">
      <mc:Choice Requires="x14">
        <oleObject progId="Word.Document.12" shapeId="1045" r:id="rId42">
          <objectPr defaultSize="0" print="0" r:id="rId43">
            <anchor moveWithCells="1">
              <from>
                <xdr:col>13</xdr:col>
                <xdr:colOff>161925</xdr:colOff>
                <xdr:row>12</xdr:row>
                <xdr:rowOff>9525</xdr:rowOff>
              </from>
              <to>
                <xdr:col>15</xdr:col>
                <xdr:colOff>209550</xdr:colOff>
                <xdr:row>13</xdr:row>
                <xdr:rowOff>76200</xdr:rowOff>
              </to>
            </anchor>
          </objectPr>
        </oleObject>
      </mc:Choice>
      <mc:Fallback>
        <oleObject progId="Word.Document.12" shapeId="1045" r:id="rId42"/>
      </mc:Fallback>
    </mc:AlternateContent>
    <mc:AlternateContent xmlns:mc="http://schemas.openxmlformats.org/markup-compatibility/2006">
      <mc:Choice Requires="x14">
        <oleObject progId="Word.Document.12" shapeId="1046" r:id="rId44">
          <objectPr defaultSize="0" print="0" r:id="rId45">
            <anchor moveWithCells="1">
              <from>
                <xdr:col>13</xdr:col>
                <xdr:colOff>161925</xdr:colOff>
                <xdr:row>10</xdr:row>
                <xdr:rowOff>19050</xdr:rowOff>
              </from>
              <to>
                <xdr:col>15</xdr:col>
                <xdr:colOff>209550</xdr:colOff>
                <xdr:row>11</xdr:row>
                <xdr:rowOff>9525</xdr:rowOff>
              </to>
            </anchor>
          </objectPr>
        </oleObject>
      </mc:Choice>
      <mc:Fallback>
        <oleObject progId="Word.Document.12" shapeId="1046" r:id="rId44"/>
      </mc:Fallback>
    </mc:AlternateContent>
    <mc:AlternateContent xmlns:mc="http://schemas.openxmlformats.org/markup-compatibility/2006">
      <mc:Choice Requires="x14">
        <oleObject progId="Word.Document.12" shapeId="1047" r:id="rId46">
          <objectPr defaultSize="0" print="0" r:id="rId47">
            <anchor moveWithCells="1">
              <from>
                <xdr:col>2</xdr:col>
                <xdr:colOff>95250</xdr:colOff>
                <xdr:row>8</xdr:row>
                <xdr:rowOff>38100</xdr:rowOff>
              </from>
              <to>
                <xdr:col>6</xdr:col>
                <xdr:colOff>28575</xdr:colOff>
                <xdr:row>9</xdr:row>
                <xdr:rowOff>9525</xdr:rowOff>
              </to>
            </anchor>
          </objectPr>
        </oleObject>
      </mc:Choice>
      <mc:Fallback>
        <oleObject progId="Word.Document.12" shapeId="1047" r:id="rId46"/>
      </mc:Fallback>
    </mc:AlternateContent>
    <mc:AlternateContent xmlns:mc="http://schemas.openxmlformats.org/markup-compatibility/2006">
      <mc:Choice Requires="x14">
        <oleObject progId="Word.Document.12" shapeId="1048" r:id="rId48">
          <objectPr defaultSize="0" print="0" r:id="rId49">
            <anchor moveWithCells="1">
              <from>
                <xdr:col>13</xdr:col>
                <xdr:colOff>9525</xdr:colOff>
                <xdr:row>8</xdr:row>
                <xdr:rowOff>38100</xdr:rowOff>
              </from>
              <to>
                <xdr:col>14</xdr:col>
                <xdr:colOff>9525</xdr:colOff>
                <xdr:row>9</xdr:row>
                <xdr:rowOff>9525</xdr:rowOff>
              </to>
            </anchor>
          </objectPr>
        </oleObject>
      </mc:Choice>
      <mc:Fallback>
        <oleObject progId="Word.Document.12" shapeId="1048" r:id="rId48"/>
      </mc:Fallback>
    </mc:AlternateContent>
    <mc:AlternateContent xmlns:mc="http://schemas.openxmlformats.org/markup-compatibility/2006">
      <mc:Choice Requires="x14">
        <oleObject progId="Word.Document.12" shapeId="1049" r:id="rId50">
          <objectPr defaultSize="0" print="0" r:id="rId51">
            <anchor moveWithCells="1">
              <from>
                <xdr:col>2</xdr:col>
                <xdr:colOff>19050</xdr:colOff>
                <xdr:row>13</xdr:row>
                <xdr:rowOff>85725</xdr:rowOff>
              </from>
              <to>
                <xdr:col>7</xdr:col>
                <xdr:colOff>19050</xdr:colOff>
                <xdr:row>14</xdr:row>
                <xdr:rowOff>95250</xdr:rowOff>
              </to>
            </anchor>
          </objectPr>
        </oleObject>
      </mc:Choice>
      <mc:Fallback>
        <oleObject progId="Word.Document.12" shapeId="1049" r:id="rId50"/>
      </mc:Fallback>
    </mc:AlternateContent>
  </oleObjects>
  <extLst>
    <ext xmlns:x14="http://schemas.microsoft.com/office/spreadsheetml/2009/9/main" uri="{CCE6A557-97BC-4b89-ADB6-D9C93CAAB3DF}">
      <x14:dataValidations xmlns:xm="http://schemas.microsoft.com/office/excel/2006/main" xWindow="860" yWindow="869" count="10">
        <x14:dataValidation type="list" allowBlank="1" showInputMessage="1" showErrorMessage="1" xr:uid="{720542C0-FE49-4793-ACB8-2320634AC73A}">
          <x14:formula1>
            <xm:f>データシート!$B$61:$B$62</xm:f>
          </x14:formula1>
          <xm:sqref>AB6 Y21:Y22 Y33:Y34 Y41:Y42 AB54:AB57 Y9:Y12</xm:sqref>
        </x14:dataValidation>
        <x14:dataValidation type="list" showInputMessage="1" showErrorMessage="1" xr:uid="{6E3526B0-4541-4681-B44F-6211CDB60598}">
          <x14:formula1>
            <xm:f>データシート!$C$61:$C$67</xm:f>
          </x14:formula1>
          <xm:sqref>X6</xm:sqref>
        </x14:dataValidation>
        <x14:dataValidation type="list" allowBlank="1" showInputMessage="1" showErrorMessage="1" prompt="別は NO" xr:uid="{BEF43A03-4C03-42E9-ACDA-4D0ED07F9E98}">
          <x14:formula1>
            <xm:f>データシート!$B$61:$B$62</xm:f>
          </x14:formula1>
          <xm:sqref>AB13 AB24 AB43 AB35</xm:sqref>
        </x14:dataValidation>
        <x14:dataValidation type="list" allowBlank="1" showInputMessage="1" showErrorMessage="1" xr:uid="{DCD81E6B-6FA8-466B-9BE9-1F36394B36F1}">
          <x14:formula1>
            <xm:f>データシート!$B$64:$B$66</xm:f>
          </x14:formula1>
          <xm:sqref>Y8</xm:sqref>
        </x14:dataValidation>
        <x14:dataValidation type="list" allowBlank="1" showInputMessage="1" showErrorMessage="1" promptTitle="附属中迎え・空港発 時間選択" prompt="附属中の迎え時間や空港発時間が一覧にない場合こちらから選択してください。" xr:uid="{A7C313A6-1280-41F0-8FC6-0C395A0E7AEC}">
          <x14:formula1>
            <xm:f>時間選択!$B$2:$B$139</xm:f>
          </x14:formula1>
          <xm:sqref>Z13 Z35 Z24 Z43</xm:sqref>
        </x14:dataValidation>
        <x14:dataValidation type="list" allowBlank="1" showInputMessage="1" showErrorMessage="1" xr:uid="{F7AEC499-92D2-4882-9DFB-11DA37FD8554}">
          <x14:formula1>
            <xm:f>データシート!$B$102:$B$431</xm:f>
          </x14:formula1>
          <xm:sqref>AB12</xm:sqref>
        </x14:dataValidation>
        <x14:dataValidation type="list" allowBlank="1" showInputMessage="1" showErrorMessage="1" xr:uid="{1C2D93B9-2010-4037-B51D-EB979AB72173}">
          <x14:formula1>
            <xm:f>データシート!$B$71:$B$463</xm:f>
          </x14:formula1>
          <xm:sqref>X20:Y20</xm:sqref>
        </x14:dataValidation>
        <x14:dataValidation type="list" allowBlank="1" showInputMessage="1" showErrorMessage="1" xr:uid="{A0F76110-8099-42BA-B601-1BA7EFD4D526}">
          <x14:formula1>
            <xm:f>データシート!$B$70:$B$461</xm:f>
          </x14:formula1>
          <xm:sqref>X25 X15:Y18</xm:sqref>
        </x14:dataValidation>
        <x14:dataValidation type="list" allowBlank="1" showInputMessage="1" showErrorMessage="1" prompt="ない場合は空白を選択" xr:uid="{D32B5547-5A76-47F8-A4BA-853BDDED13F3}">
          <x14:formula1>
            <xm:f>データシート!$B$70:$B$462</xm:f>
          </x14:formula1>
          <xm:sqref>X44:Y44</xm:sqref>
        </x14:dataValidation>
        <x14:dataValidation type="list" allowBlank="1" showInputMessage="1" showErrorMessage="1" prompt="ない場合は空白を選択" xr:uid="{AD60F675-D648-4F43-84BB-058702EA5391}">
          <x14:formula1>
            <xm:f>データシート!$B$70:$B$463</xm:f>
          </x14:formula1>
          <xm:sqref>X35:Y38 X24:Y24 X27:Y28 X13:Y14 X43:Y43 X45:Y46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2D720A-A9EF-4B30-AF4F-CDD3B50E9FA5}">
  <sheetPr codeName="Sheet2"/>
  <dimension ref="A1:AE463"/>
  <sheetViews>
    <sheetView topLeftCell="A396" zoomScaleNormal="100" workbookViewId="0">
      <selection activeCell="B402" sqref="B402"/>
    </sheetView>
  </sheetViews>
  <sheetFormatPr defaultRowHeight="13.5"/>
  <cols>
    <col min="1" max="1" width="9.5" bestFit="1" customWidth="1"/>
    <col min="2" max="2" width="10.75" customWidth="1"/>
    <col min="3" max="3" width="13.25" customWidth="1"/>
    <col min="4" max="7" width="8.375" style="35" customWidth="1"/>
    <col min="8" max="8" width="8.375" customWidth="1"/>
    <col min="9" max="9" width="8.375" style="36" customWidth="1"/>
    <col min="10" max="10" width="8.375" customWidth="1"/>
    <col min="11" max="11" width="8.375" style="35" customWidth="1"/>
    <col min="12" max="12" width="8.375" style="15" customWidth="1"/>
    <col min="13" max="13" width="8.375" style="35" customWidth="1"/>
    <col min="14" max="15" width="8.375" style="36" customWidth="1"/>
    <col min="16" max="24" width="8.375" style="15" customWidth="1"/>
    <col min="25" max="25" width="8.375" customWidth="1"/>
    <col min="26" max="26" width="12.875" customWidth="1"/>
    <col min="27" max="27" width="8.375" customWidth="1"/>
    <col min="28" max="28" width="11.25" customWidth="1"/>
    <col min="31" max="31" width="11.375" customWidth="1"/>
  </cols>
  <sheetData>
    <row r="1" spans="1:31" ht="16.5">
      <c r="A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 s="6" t="s">
        <v>0</v>
      </c>
      <c r="C1" s="7" t="s">
        <v>1</v>
      </c>
      <c r="D1" s="56" t="s">
        <v>10</v>
      </c>
      <c r="E1" s="56" t="s">
        <v>4</v>
      </c>
      <c r="F1" s="56" t="s">
        <v>5</v>
      </c>
      <c r="G1" s="56" t="s">
        <v>6</v>
      </c>
      <c r="H1" s="55" t="s">
        <v>7</v>
      </c>
      <c r="I1" s="50" t="s">
        <v>8</v>
      </c>
      <c r="J1" s="55" t="s">
        <v>9</v>
      </c>
      <c r="K1" s="56" t="s">
        <v>10</v>
      </c>
      <c r="L1" s="61" t="s">
        <v>3</v>
      </c>
      <c r="M1" s="56" t="s">
        <v>5</v>
      </c>
      <c r="N1" s="50" t="s">
        <v>6</v>
      </c>
      <c r="O1" s="50" t="s">
        <v>7</v>
      </c>
      <c r="P1" s="16" t="s">
        <v>8</v>
      </c>
      <c r="Q1" s="16" t="s">
        <v>9</v>
      </c>
      <c r="R1" s="55"/>
      <c r="S1" s="16"/>
      <c r="T1" s="16"/>
      <c r="U1" s="16"/>
      <c r="V1" s="16"/>
      <c r="W1" s="16"/>
      <c r="X1" s="16"/>
      <c r="Z1" s="20" t="s">
        <v>509</v>
      </c>
      <c r="AD1" t="s">
        <v>190</v>
      </c>
      <c r="AE1" t="s">
        <v>191</v>
      </c>
    </row>
    <row r="2" spans="1:31">
      <c r="A2">
        <f ca="1">WEEKDAY(A1,2)</f>
        <v>2</v>
      </c>
      <c r="B2" s="8"/>
      <c r="C2" s="9"/>
      <c r="D2" s="57"/>
      <c r="E2" s="57"/>
      <c r="F2" s="57"/>
      <c r="G2" s="57"/>
      <c r="H2" s="9"/>
      <c r="I2" s="51"/>
      <c r="J2" s="9"/>
      <c r="K2" s="57"/>
      <c r="L2" s="12"/>
      <c r="M2" s="57"/>
      <c r="N2" s="51"/>
      <c r="O2" s="51"/>
      <c r="P2" s="12"/>
      <c r="Q2" s="12"/>
      <c r="R2" s="86"/>
      <c r="S2" s="24"/>
      <c r="T2" s="24"/>
      <c r="U2" s="24"/>
      <c r="V2" s="24"/>
      <c r="W2" s="24"/>
      <c r="X2" s="24"/>
      <c r="AA2" s="78" t="s">
        <v>142</v>
      </c>
    </row>
    <row r="3" spans="1:31">
      <c r="A3">
        <f ca="1">A2+7</f>
        <v>9</v>
      </c>
      <c r="B3" s="10"/>
      <c r="C3" s="11"/>
      <c r="D3" s="58"/>
      <c r="E3" s="58"/>
      <c r="F3" s="58"/>
      <c r="G3" s="58"/>
      <c r="H3" s="11"/>
      <c r="I3" s="52"/>
      <c r="J3" s="11"/>
      <c r="K3" s="58"/>
      <c r="L3" s="13"/>
      <c r="M3" s="58"/>
      <c r="N3" s="52"/>
      <c r="O3" s="52"/>
      <c r="P3" s="13"/>
      <c r="Q3" s="13"/>
      <c r="R3"/>
      <c r="Z3" s="144">
        <v>45655</v>
      </c>
      <c r="AA3" s="22" t="s">
        <v>13</v>
      </c>
      <c r="AB3" s="22"/>
      <c r="AD3">
        <v>671</v>
      </c>
      <c r="AE3" t="s">
        <v>196</v>
      </c>
    </row>
    <row r="4" spans="1:31" ht="13.5" customHeight="1">
      <c r="A4" s="23" t="str">
        <f ca="1">IF(NETWORKDAYS(A1,A1,$Z$3:$Z$60),"平日","休日")</f>
        <v>休日</v>
      </c>
      <c r="B4" s="8"/>
      <c r="C4" s="9"/>
      <c r="D4" s="57"/>
      <c r="E4" s="57"/>
      <c r="F4" s="57"/>
      <c r="G4" s="57"/>
      <c r="H4" s="9"/>
      <c r="I4" s="51"/>
      <c r="J4" s="9"/>
      <c r="K4" s="57"/>
      <c r="L4" s="12"/>
      <c r="M4" s="57"/>
      <c r="N4" s="51"/>
      <c r="O4" s="51"/>
      <c r="P4" s="12"/>
      <c r="Q4" s="12"/>
      <c r="R4" s="86"/>
      <c r="S4" s="24"/>
      <c r="T4" s="24"/>
      <c r="U4" s="24"/>
      <c r="V4" s="24"/>
      <c r="W4" s="24"/>
      <c r="X4" s="24"/>
      <c r="Z4" s="144">
        <v>45656</v>
      </c>
      <c r="AA4" s="22" t="s">
        <v>15</v>
      </c>
      <c r="AB4" s="22"/>
      <c r="AD4">
        <v>1629</v>
      </c>
      <c r="AE4" t="s">
        <v>688</v>
      </c>
    </row>
    <row r="5" spans="1:31" ht="13.5" customHeight="1">
      <c r="A5">
        <f ca="1">WEEKNUM(A1)</f>
        <v>18</v>
      </c>
      <c r="B5" s="10"/>
      <c r="C5" s="11"/>
      <c r="D5" s="58"/>
      <c r="E5" s="58"/>
      <c r="F5" s="58"/>
      <c r="G5" s="58"/>
      <c r="H5" s="11"/>
      <c r="I5" s="52"/>
      <c r="J5" s="11"/>
      <c r="K5" s="58"/>
      <c r="L5" s="13"/>
      <c r="M5" s="58"/>
      <c r="N5" s="52"/>
      <c r="O5" s="52"/>
      <c r="P5" s="13"/>
      <c r="Q5" s="13"/>
      <c r="R5"/>
      <c r="Z5" s="144">
        <v>45657</v>
      </c>
      <c r="AA5" s="22" t="s">
        <v>17</v>
      </c>
      <c r="AB5" s="22"/>
    </row>
    <row r="6" spans="1:31" ht="13.5" customHeight="1">
      <c r="A6">
        <f ca="1">MOD(A5,2)</f>
        <v>0</v>
      </c>
      <c r="B6" s="8"/>
      <c r="C6" s="9"/>
      <c r="D6" s="57"/>
      <c r="E6" s="57"/>
      <c r="F6" s="57"/>
      <c r="G6" s="57"/>
      <c r="H6" s="9"/>
      <c r="I6" s="51"/>
      <c r="J6" s="9"/>
      <c r="K6" s="57"/>
      <c r="L6" s="12"/>
      <c r="M6" s="57"/>
      <c r="N6" s="51"/>
      <c r="O6" s="51"/>
      <c r="P6" s="12"/>
      <c r="Q6" s="12"/>
      <c r="R6" s="86"/>
      <c r="S6" s="24"/>
      <c r="T6" s="24"/>
      <c r="U6" s="24"/>
      <c r="V6" s="24"/>
      <c r="W6" s="24"/>
      <c r="X6" s="24"/>
      <c r="Z6" s="145">
        <v>45658</v>
      </c>
      <c r="AA6" s="22" t="s">
        <v>510</v>
      </c>
      <c r="AB6" s="22" t="s">
        <v>14</v>
      </c>
    </row>
    <row r="7" spans="1:31" ht="13.5" customHeight="1">
      <c r="A7" t="b">
        <f ca="1">ISODD(A5)</f>
        <v>0</v>
      </c>
      <c r="B7" s="10"/>
      <c r="C7" s="11"/>
      <c r="D7" s="58"/>
      <c r="E7" s="58"/>
      <c r="F7" s="58"/>
      <c r="G7" s="58"/>
      <c r="H7" s="11"/>
      <c r="I7" s="52"/>
      <c r="J7" s="11"/>
      <c r="K7" s="58"/>
      <c r="L7" s="13"/>
      <c r="M7" s="58"/>
      <c r="N7" s="52"/>
      <c r="O7" s="52"/>
      <c r="P7" s="13"/>
      <c r="Q7" s="13"/>
      <c r="R7"/>
      <c r="Z7" s="145">
        <v>45659</v>
      </c>
      <c r="AA7" s="22" t="s">
        <v>16</v>
      </c>
      <c r="AB7" s="22"/>
      <c r="AD7">
        <v>1539</v>
      </c>
      <c r="AE7" t="s">
        <v>192</v>
      </c>
    </row>
    <row r="8" spans="1:31" ht="13.5" customHeight="1">
      <c r="B8" s="8"/>
      <c r="C8" s="9"/>
      <c r="D8" s="57"/>
      <c r="E8" s="57"/>
      <c r="F8" s="57"/>
      <c r="G8" s="57"/>
      <c r="H8" s="9"/>
      <c r="I8" s="51"/>
      <c r="J8" s="9"/>
      <c r="K8" s="57"/>
      <c r="L8" s="12"/>
      <c r="M8" s="57"/>
      <c r="N8" s="51"/>
      <c r="O8" s="51"/>
      <c r="P8" s="12"/>
      <c r="Q8" s="12"/>
      <c r="R8" s="86"/>
      <c r="S8" s="24"/>
      <c r="T8" s="24"/>
      <c r="U8" s="24"/>
      <c r="V8" s="24"/>
      <c r="W8" s="24"/>
      <c r="X8" s="24"/>
      <c r="Z8" s="145">
        <v>45660</v>
      </c>
      <c r="AA8" s="22" t="s">
        <v>23</v>
      </c>
      <c r="AB8" s="22"/>
    </row>
    <row r="9" spans="1:31" ht="13.5" customHeight="1">
      <c r="B9" s="10"/>
      <c r="C9" s="11"/>
      <c r="D9" s="58"/>
      <c r="E9" s="58"/>
      <c r="F9" s="58"/>
      <c r="G9" s="58"/>
      <c r="H9" s="11"/>
      <c r="I9" s="52"/>
      <c r="J9" s="11"/>
      <c r="K9" s="58"/>
      <c r="L9" s="13"/>
      <c r="M9" s="58"/>
      <c r="N9" s="52"/>
      <c r="O9" s="52"/>
      <c r="P9" s="13"/>
      <c r="Q9" s="13"/>
      <c r="R9"/>
      <c r="Z9" s="145">
        <v>45670</v>
      </c>
      <c r="AA9" s="22" t="s">
        <v>511</v>
      </c>
      <c r="AB9" s="22" t="s">
        <v>512</v>
      </c>
      <c r="AD9">
        <v>1699</v>
      </c>
      <c r="AE9" t="s">
        <v>229</v>
      </c>
    </row>
    <row r="10" spans="1:31" ht="13.5" customHeight="1">
      <c r="A10" s="77" t="s">
        <v>141</v>
      </c>
      <c r="B10" s="8"/>
      <c r="C10" s="9"/>
      <c r="D10" s="57"/>
      <c r="E10" s="57"/>
      <c r="F10" s="57"/>
      <c r="G10" s="57"/>
      <c r="H10" s="9"/>
      <c r="I10" s="51"/>
      <c r="J10" s="9"/>
      <c r="K10" s="57"/>
      <c r="L10" s="12"/>
      <c r="M10" s="57"/>
      <c r="N10" s="51"/>
      <c r="O10" s="51"/>
      <c r="P10" s="12"/>
      <c r="Q10" s="12"/>
      <c r="R10" s="86"/>
      <c r="S10" s="24"/>
      <c r="T10" s="24"/>
      <c r="U10" s="24"/>
      <c r="V10" s="24"/>
      <c r="W10" s="24"/>
      <c r="X10" s="24"/>
      <c r="Z10" s="144">
        <v>45699</v>
      </c>
      <c r="AA10" s="22" t="s">
        <v>513</v>
      </c>
      <c r="AB10" s="22" t="s">
        <v>514</v>
      </c>
    </row>
    <row r="11" spans="1:31" ht="13.5" customHeight="1">
      <c r="A11" s="5">
        <f ca="1">IF(印刷プレビュー!X6="本　日",D61,IF(印刷プレビュー!X6="明　日",D62,IF(印刷プレビュー!X6="明後日",D63,IF(印刷プレビュー!X6="３日後",D64,IF(印刷プレビュー!X6="４日後",D65,IF(印刷プレビュー!X6="５日後",D66,IF(印刷プレビュー!X6="６日後",D67)))))))</f>
        <v>45776</v>
      </c>
      <c r="B11" s="10"/>
      <c r="C11" s="11"/>
      <c r="D11" s="58"/>
      <c r="E11" s="58"/>
      <c r="F11" s="58"/>
      <c r="G11" s="58"/>
      <c r="H11" s="11"/>
      <c r="I11" s="52"/>
      <c r="J11" s="11"/>
      <c r="K11" s="58"/>
      <c r="L11" s="13"/>
      <c r="M11" s="58"/>
      <c r="N11" s="52"/>
      <c r="O11" s="52"/>
      <c r="P11" s="13"/>
      <c r="Q11" s="13"/>
      <c r="R11"/>
      <c r="Z11" s="144">
        <v>45711</v>
      </c>
      <c r="AA11" s="22" t="s">
        <v>515</v>
      </c>
      <c r="AB11" s="22" t="s">
        <v>516</v>
      </c>
      <c r="AD11">
        <v>1715</v>
      </c>
      <c r="AE11" t="s">
        <v>197</v>
      </c>
    </row>
    <row r="12" spans="1:31" ht="13.5" customHeight="1">
      <c r="A12" s="90" t="str">
        <f ca="1">TEXT(A11,"aaa")</f>
        <v>火</v>
      </c>
      <c r="B12" s="8"/>
      <c r="C12" s="9"/>
      <c r="D12" s="57"/>
      <c r="E12" s="57"/>
      <c r="F12" s="57"/>
      <c r="G12" s="57"/>
      <c r="H12" s="9"/>
      <c r="I12" s="51"/>
      <c r="J12" s="9"/>
      <c r="K12" s="57"/>
      <c r="L12" s="12"/>
      <c r="M12" s="57"/>
      <c r="N12" s="51"/>
      <c r="O12" s="51"/>
      <c r="P12" s="12"/>
      <c r="Q12" s="12"/>
      <c r="R12" s="86"/>
      <c r="S12" s="24"/>
      <c r="T12" s="24"/>
      <c r="U12" s="24"/>
      <c r="V12" s="24"/>
      <c r="W12" s="24"/>
      <c r="X12" s="24"/>
      <c r="Z12" s="144">
        <v>45712</v>
      </c>
      <c r="AA12" s="22" t="s">
        <v>511</v>
      </c>
      <c r="AB12" s="22" t="s">
        <v>27</v>
      </c>
      <c r="AD12">
        <v>1758</v>
      </c>
      <c r="AE12" t="s">
        <v>478</v>
      </c>
    </row>
    <row r="13" spans="1:31" ht="13.5" customHeight="1">
      <c r="A13" s="91" t="str">
        <f ca="1">IF(A12="火","休館","営業")</f>
        <v>休館</v>
      </c>
      <c r="B13" s="10"/>
      <c r="C13" s="11"/>
      <c r="D13" s="58"/>
      <c r="E13" s="58"/>
      <c r="F13" s="58"/>
      <c r="G13" s="58"/>
      <c r="H13" s="11"/>
      <c r="I13" s="52"/>
      <c r="J13" s="11"/>
      <c r="K13" s="58"/>
      <c r="L13" s="13"/>
      <c r="M13" s="58"/>
      <c r="N13" s="52"/>
      <c r="O13" s="52"/>
      <c r="P13" s="13"/>
      <c r="Q13" s="13"/>
      <c r="R13"/>
      <c r="Z13" s="144">
        <v>45736</v>
      </c>
      <c r="AA13" s="22" t="s">
        <v>517</v>
      </c>
      <c r="AB13" s="22" t="s">
        <v>18</v>
      </c>
      <c r="AD13">
        <v>1777</v>
      </c>
      <c r="AE13" t="s">
        <v>198</v>
      </c>
    </row>
    <row r="14" spans="1:31" ht="13.5" customHeight="1">
      <c r="A14" s="79"/>
      <c r="B14" s="8"/>
      <c r="C14" s="9"/>
      <c r="D14" s="57"/>
      <c r="E14" s="57"/>
      <c r="F14" s="57"/>
      <c r="G14" s="57"/>
      <c r="H14" s="9"/>
      <c r="I14" s="51"/>
      <c r="J14" s="9"/>
      <c r="K14" s="57"/>
      <c r="L14" s="12"/>
      <c r="M14" s="57"/>
      <c r="N14" s="51"/>
      <c r="O14" s="51"/>
      <c r="P14" s="12"/>
      <c r="Q14" s="12"/>
      <c r="R14" s="86"/>
      <c r="S14" s="24"/>
      <c r="T14" s="24"/>
      <c r="U14" s="24"/>
      <c r="V14" s="24"/>
      <c r="W14" s="24"/>
      <c r="X14" s="24"/>
      <c r="Z14" s="144">
        <v>45776</v>
      </c>
      <c r="AA14" s="22" t="s">
        <v>513</v>
      </c>
      <c r="AB14" s="22" t="s">
        <v>19</v>
      </c>
    </row>
    <row r="15" spans="1:31" ht="13.5" customHeight="1">
      <c r="B15" s="10"/>
      <c r="C15" s="11"/>
      <c r="D15" s="58"/>
      <c r="E15" s="58"/>
      <c r="F15" s="58"/>
      <c r="G15" s="58"/>
      <c r="H15" s="11"/>
      <c r="I15" s="52"/>
      <c r="J15" s="11"/>
      <c r="K15" s="58"/>
      <c r="L15" s="13"/>
      <c r="M15" s="58"/>
      <c r="N15" s="52"/>
      <c r="O15" s="52"/>
      <c r="P15" s="13"/>
      <c r="Q15" s="13"/>
      <c r="R15"/>
      <c r="Z15" s="144">
        <v>45780</v>
      </c>
      <c r="AA15" s="22" t="s">
        <v>518</v>
      </c>
      <c r="AB15" s="22" t="s">
        <v>21</v>
      </c>
      <c r="AD15">
        <v>1793</v>
      </c>
      <c r="AE15" t="s">
        <v>262</v>
      </c>
    </row>
    <row r="16" spans="1:31" ht="13.5" customHeight="1">
      <c r="B16" s="8"/>
      <c r="C16" s="9"/>
      <c r="D16" s="57"/>
      <c r="E16" s="57"/>
      <c r="F16" s="57"/>
      <c r="G16" s="57"/>
      <c r="H16" s="9"/>
      <c r="I16" s="51"/>
      <c r="J16" s="9"/>
      <c r="K16" s="57"/>
      <c r="L16" s="12"/>
      <c r="M16" s="57"/>
      <c r="N16" s="51"/>
      <c r="O16" s="51"/>
      <c r="P16" s="12"/>
      <c r="Q16" s="12"/>
      <c r="R16" s="86"/>
      <c r="S16" s="24"/>
      <c r="T16" s="24"/>
      <c r="U16" s="24"/>
      <c r="V16" s="24"/>
      <c r="W16" s="24"/>
      <c r="X16" s="24"/>
      <c r="Z16" s="144">
        <v>45781</v>
      </c>
      <c r="AA16" s="22" t="s">
        <v>13</v>
      </c>
      <c r="AB16" s="22" t="s">
        <v>22</v>
      </c>
      <c r="AD16">
        <v>1803</v>
      </c>
      <c r="AE16" t="s">
        <v>256</v>
      </c>
    </row>
    <row r="17" spans="2:31" ht="13.5" customHeight="1">
      <c r="B17" s="10"/>
      <c r="C17" s="11"/>
      <c r="D17" s="58"/>
      <c r="E17" s="58"/>
      <c r="F17" s="58"/>
      <c r="G17" s="58"/>
      <c r="H17" s="11"/>
      <c r="I17" s="52"/>
      <c r="J17" s="11"/>
      <c r="K17" s="58"/>
      <c r="L17" s="13"/>
      <c r="M17" s="58"/>
      <c r="N17" s="52"/>
      <c r="O17" s="52"/>
      <c r="P17" s="13"/>
      <c r="Q17" s="13"/>
      <c r="R17"/>
      <c r="Z17" s="144">
        <v>45782</v>
      </c>
      <c r="AA17" s="22" t="s">
        <v>15</v>
      </c>
      <c r="AB17" s="22" t="s">
        <v>24</v>
      </c>
      <c r="AD17">
        <v>1805</v>
      </c>
      <c r="AE17" t="s">
        <v>199</v>
      </c>
    </row>
    <row r="18" spans="2:31" ht="13.5" customHeight="1">
      <c r="B18" s="8"/>
      <c r="C18" s="9"/>
      <c r="D18" s="57"/>
      <c r="E18" s="57"/>
      <c r="F18" s="57"/>
      <c r="G18" s="57"/>
      <c r="H18" s="9"/>
      <c r="I18" s="51"/>
      <c r="J18" s="9"/>
      <c r="K18" s="57"/>
      <c r="L18" s="12"/>
      <c r="M18" s="57"/>
      <c r="N18" s="51"/>
      <c r="O18" s="51"/>
      <c r="P18" s="12"/>
      <c r="Q18" s="12"/>
      <c r="R18" s="86"/>
      <c r="S18" s="24"/>
      <c r="T18" s="24"/>
      <c r="U18" s="24"/>
      <c r="V18" s="24"/>
      <c r="W18" s="24"/>
      <c r="X18" s="24"/>
      <c r="Z18" s="144">
        <v>45783</v>
      </c>
      <c r="AA18" s="22" t="s">
        <v>17</v>
      </c>
      <c r="AB18" s="22" t="s">
        <v>27</v>
      </c>
      <c r="AD18">
        <v>1808</v>
      </c>
      <c r="AE18" t="s">
        <v>200</v>
      </c>
    </row>
    <row r="19" spans="2:31" ht="13.5" customHeight="1">
      <c r="B19" s="10"/>
      <c r="C19" s="11"/>
      <c r="D19" s="58"/>
      <c r="E19" s="58"/>
      <c r="F19" s="58"/>
      <c r="G19" s="58"/>
      <c r="H19" s="11"/>
      <c r="I19" s="52"/>
      <c r="J19" s="11"/>
      <c r="K19" s="58"/>
      <c r="L19" s="13"/>
      <c r="M19" s="58"/>
      <c r="N19" s="52"/>
      <c r="O19" s="52"/>
      <c r="P19" s="13"/>
      <c r="Q19" s="13"/>
      <c r="R19" s="11"/>
      <c r="S19" s="13"/>
      <c r="Z19" s="144">
        <v>45859</v>
      </c>
      <c r="AA19" s="22" t="s">
        <v>511</v>
      </c>
      <c r="AB19" s="22" t="s">
        <v>519</v>
      </c>
      <c r="AD19">
        <v>1826</v>
      </c>
      <c r="AE19" t="s">
        <v>240</v>
      </c>
    </row>
    <row r="20" spans="2:31">
      <c r="B20" s="8"/>
      <c r="C20" s="9"/>
      <c r="D20" s="57"/>
      <c r="E20" s="57"/>
      <c r="F20" s="57"/>
      <c r="G20" s="57"/>
      <c r="H20" s="9"/>
      <c r="I20" s="51"/>
      <c r="J20" s="9"/>
      <c r="K20" s="57"/>
      <c r="L20" s="12"/>
      <c r="M20" s="57"/>
      <c r="N20" s="51"/>
      <c r="O20" s="51"/>
      <c r="P20" s="12"/>
      <c r="Q20" s="12"/>
      <c r="R20" s="87"/>
      <c r="S20" s="24"/>
      <c r="T20" s="24"/>
      <c r="U20" s="24"/>
      <c r="V20" s="24"/>
      <c r="W20" s="24"/>
      <c r="X20" s="24"/>
      <c r="Z20" s="144">
        <v>45880</v>
      </c>
      <c r="AA20" s="22" t="s">
        <v>511</v>
      </c>
      <c r="AB20" s="22" t="s">
        <v>520</v>
      </c>
      <c r="AD20">
        <v>1832</v>
      </c>
      <c r="AE20" t="s">
        <v>201</v>
      </c>
    </row>
    <row r="21" spans="2:31">
      <c r="B21" s="10"/>
      <c r="C21" s="11"/>
      <c r="D21" s="58"/>
      <c r="E21" s="58"/>
      <c r="F21" s="58"/>
      <c r="G21" s="58"/>
      <c r="H21" s="11"/>
      <c r="I21" s="52"/>
      <c r="J21" s="11"/>
      <c r="K21" s="58"/>
      <c r="L21" s="13"/>
      <c r="M21" s="58"/>
      <c r="N21" s="52"/>
      <c r="O21" s="52"/>
      <c r="P21" s="13"/>
      <c r="Q21" s="13"/>
      <c r="R21" s="11"/>
      <c r="Z21" s="144">
        <v>45882</v>
      </c>
      <c r="AA21" s="22" t="s">
        <v>510</v>
      </c>
      <c r="AB21" s="22" t="s">
        <v>521</v>
      </c>
      <c r="AD21">
        <v>1807</v>
      </c>
      <c r="AE21" t="s">
        <v>253</v>
      </c>
    </row>
    <row r="22" spans="2:31" ht="13.5" customHeight="1">
      <c r="B22" s="8"/>
      <c r="C22" s="9"/>
      <c r="D22" s="96"/>
      <c r="E22" s="97"/>
      <c r="F22" s="97"/>
      <c r="G22" s="97"/>
      <c r="H22" s="97"/>
      <c r="I22" s="97"/>
      <c r="J22" s="96"/>
      <c r="K22" s="96"/>
      <c r="L22" s="97"/>
      <c r="M22" s="97"/>
      <c r="N22" s="97"/>
      <c r="O22" s="97"/>
      <c r="P22" s="97"/>
      <c r="Q22" s="97"/>
      <c r="R22" s="87"/>
      <c r="S22" s="24"/>
      <c r="T22" s="24"/>
      <c r="U22" s="24"/>
      <c r="V22" s="24"/>
      <c r="W22" s="24"/>
      <c r="X22" s="24"/>
      <c r="Z22" s="144">
        <v>45883</v>
      </c>
      <c r="AA22" s="22" t="s">
        <v>16</v>
      </c>
      <c r="AB22" s="22" t="s">
        <v>521</v>
      </c>
      <c r="AD22">
        <v>1855</v>
      </c>
      <c r="AE22" t="s">
        <v>258</v>
      </c>
    </row>
    <row r="23" spans="2:31" ht="13.5" customHeight="1">
      <c r="B23" s="10"/>
      <c r="C23" s="11"/>
      <c r="D23" s="58"/>
      <c r="E23" s="58"/>
      <c r="F23" s="58"/>
      <c r="G23" s="58"/>
      <c r="H23" s="11"/>
      <c r="I23" s="52"/>
      <c r="J23" s="11"/>
      <c r="K23" s="58"/>
      <c r="L23" s="13"/>
      <c r="M23" s="58"/>
      <c r="N23" s="52"/>
      <c r="O23" s="52"/>
      <c r="P23" s="13"/>
      <c r="Q23" s="13"/>
      <c r="R23" s="11"/>
      <c r="Z23" s="144">
        <v>45884</v>
      </c>
      <c r="AA23" s="22" t="s">
        <v>23</v>
      </c>
      <c r="AB23" s="22" t="s">
        <v>521</v>
      </c>
      <c r="AD23">
        <v>1862</v>
      </c>
      <c r="AE23" t="s">
        <v>202</v>
      </c>
    </row>
    <row r="24" spans="2:31" ht="13.5" customHeight="1">
      <c r="B24" s="8"/>
      <c r="C24" s="9"/>
      <c r="D24" s="57"/>
      <c r="E24" s="57"/>
      <c r="F24" s="57"/>
      <c r="G24" s="57"/>
      <c r="H24" s="9"/>
      <c r="I24" s="51"/>
      <c r="J24" s="9"/>
      <c r="K24" s="57"/>
      <c r="L24" s="12"/>
      <c r="M24" s="57"/>
      <c r="N24" s="51"/>
      <c r="O24" s="51"/>
      <c r="P24" s="12"/>
      <c r="Q24" s="12"/>
      <c r="R24" s="87"/>
      <c r="S24" s="24"/>
      <c r="T24" s="24"/>
      <c r="U24" s="24"/>
      <c r="V24" s="24"/>
      <c r="W24" s="24"/>
      <c r="X24" s="24"/>
      <c r="Z24" s="144">
        <v>45915</v>
      </c>
      <c r="AA24" s="22" t="s">
        <v>511</v>
      </c>
      <c r="AB24" s="22" t="s">
        <v>522</v>
      </c>
    </row>
    <row r="25" spans="2:31" ht="13.5" customHeight="1">
      <c r="B25" s="10"/>
      <c r="C25" s="11"/>
      <c r="D25" s="13"/>
      <c r="E25" s="13"/>
      <c r="F25" s="13"/>
      <c r="G25" s="13"/>
      <c r="H25" s="13"/>
      <c r="I25" s="58"/>
      <c r="J25" s="13"/>
      <c r="K25" s="13"/>
      <c r="L25" s="13"/>
      <c r="M25" s="13"/>
      <c r="N25" s="13"/>
      <c r="O25" s="58"/>
      <c r="P25" s="58"/>
      <c r="Q25" s="13"/>
      <c r="R25" s="11"/>
      <c r="S25" s="13"/>
      <c r="Z25" s="144">
        <v>45923</v>
      </c>
      <c r="AA25" s="22" t="s">
        <v>513</v>
      </c>
      <c r="AB25" s="22" t="s">
        <v>25</v>
      </c>
      <c r="AD25">
        <v>1893</v>
      </c>
      <c r="AE25" t="s">
        <v>203</v>
      </c>
    </row>
    <row r="26" spans="2:31">
      <c r="B26" s="8"/>
      <c r="C26" s="9"/>
      <c r="D26" s="57"/>
      <c r="E26" s="57"/>
      <c r="F26" s="57"/>
      <c r="G26" s="57"/>
      <c r="H26" s="9"/>
      <c r="I26" s="51"/>
      <c r="J26" s="9"/>
      <c r="K26" s="57"/>
      <c r="L26" s="12"/>
      <c r="M26" s="57"/>
      <c r="N26" s="51"/>
      <c r="O26" s="51"/>
      <c r="P26" s="12"/>
      <c r="Q26" s="12"/>
      <c r="R26" s="87"/>
      <c r="S26" s="24"/>
      <c r="T26" s="24"/>
      <c r="U26" s="24"/>
      <c r="V26" s="24"/>
      <c r="W26" s="24"/>
      <c r="X26" s="24"/>
      <c r="Z26" s="144">
        <v>45943</v>
      </c>
      <c r="AA26" s="22" t="s">
        <v>511</v>
      </c>
      <c r="AB26" s="22" t="s">
        <v>523</v>
      </c>
      <c r="AD26">
        <v>1889</v>
      </c>
      <c r="AE26" t="s">
        <v>244</v>
      </c>
    </row>
    <row r="27" spans="2:31">
      <c r="B27" s="10"/>
      <c r="C27" s="11"/>
      <c r="D27" s="58"/>
      <c r="E27" s="58"/>
      <c r="F27" s="58"/>
      <c r="G27" s="58"/>
      <c r="H27" s="11"/>
      <c r="I27" s="52"/>
      <c r="J27" s="11"/>
      <c r="K27" s="58"/>
      <c r="L27" s="13"/>
      <c r="M27" s="58"/>
      <c r="N27" s="52"/>
      <c r="O27" s="52"/>
      <c r="P27" s="13"/>
      <c r="Q27" s="13"/>
      <c r="R27" s="11"/>
      <c r="Z27" s="144">
        <v>45964</v>
      </c>
      <c r="AA27" s="22" t="s">
        <v>511</v>
      </c>
      <c r="AB27" s="22" t="s">
        <v>524</v>
      </c>
      <c r="AD27">
        <v>1916</v>
      </c>
      <c r="AE27" t="s">
        <v>204</v>
      </c>
    </row>
    <row r="28" spans="2:31">
      <c r="B28" s="8"/>
      <c r="C28" s="9"/>
      <c r="D28" s="57"/>
      <c r="E28" s="57"/>
      <c r="F28" s="57"/>
      <c r="G28" s="57"/>
      <c r="H28" s="9"/>
      <c r="I28" s="51"/>
      <c r="J28" s="9"/>
      <c r="K28" s="57"/>
      <c r="L28" s="12"/>
      <c r="M28" s="57"/>
      <c r="N28" s="51"/>
      <c r="O28" s="51"/>
      <c r="P28" s="12"/>
      <c r="Q28" s="12"/>
      <c r="R28" s="87"/>
      <c r="S28" s="24"/>
      <c r="T28" s="24"/>
      <c r="U28" s="24"/>
      <c r="V28" s="24"/>
      <c r="W28" s="24"/>
      <c r="X28" s="24"/>
      <c r="Z28" s="144">
        <v>45984</v>
      </c>
      <c r="AA28" s="22" t="s">
        <v>511</v>
      </c>
      <c r="AB28" s="22" t="s">
        <v>26</v>
      </c>
    </row>
    <row r="29" spans="2:31">
      <c r="B29" s="10"/>
      <c r="C29" s="11"/>
      <c r="D29" s="58"/>
      <c r="E29" s="58"/>
      <c r="F29" s="58"/>
      <c r="G29" s="58"/>
      <c r="H29" s="11"/>
      <c r="I29" s="52"/>
      <c r="J29" s="11"/>
      <c r="K29" s="58"/>
      <c r="L29" s="13"/>
      <c r="M29" s="58"/>
      <c r="N29" s="52"/>
      <c r="O29" s="52"/>
      <c r="P29" s="13"/>
      <c r="Q29" s="13"/>
      <c r="R29" s="11"/>
      <c r="Z29" s="144">
        <v>45985</v>
      </c>
      <c r="AA29" s="22" t="s">
        <v>17</v>
      </c>
      <c r="AB29" s="22" t="s">
        <v>27</v>
      </c>
      <c r="AD29">
        <v>1927</v>
      </c>
      <c r="AE29" t="s">
        <v>205</v>
      </c>
    </row>
    <row r="30" spans="2:31">
      <c r="B30" s="8"/>
      <c r="C30" s="9"/>
      <c r="D30" s="57"/>
      <c r="E30" s="57"/>
      <c r="F30" s="57"/>
      <c r="G30" s="57"/>
      <c r="H30" s="9"/>
      <c r="I30" s="51"/>
      <c r="J30" s="9"/>
      <c r="K30" s="57"/>
      <c r="L30" s="12"/>
      <c r="M30" s="57"/>
      <c r="N30" s="51"/>
      <c r="O30" s="51"/>
      <c r="P30" s="12"/>
      <c r="Q30" s="12"/>
      <c r="R30" s="87"/>
      <c r="S30" s="24"/>
      <c r="T30" s="24"/>
      <c r="U30" s="24"/>
      <c r="V30" s="24"/>
      <c r="W30" s="24"/>
      <c r="X30" s="24"/>
      <c r="Z30" s="144">
        <v>46020</v>
      </c>
      <c r="AA30" s="22" t="s">
        <v>511</v>
      </c>
      <c r="AB30" s="22"/>
      <c r="AD30">
        <v>1944</v>
      </c>
      <c r="AE30" t="s">
        <v>206</v>
      </c>
    </row>
    <row r="31" spans="2:31">
      <c r="B31" s="10"/>
      <c r="C31" s="11"/>
      <c r="D31" s="58"/>
      <c r="E31" s="58"/>
      <c r="F31" s="58"/>
      <c r="G31" s="58"/>
      <c r="H31" s="11"/>
      <c r="I31" s="52"/>
      <c r="J31" s="11"/>
      <c r="K31" s="58"/>
      <c r="L31" s="13"/>
      <c r="M31" s="58"/>
      <c r="N31" s="52"/>
      <c r="O31" s="52"/>
      <c r="P31" s="13"/>
      <c r="Q31" s="13"/>
      <c r="R31" s="11"/>
      <c r="Z31" s="144">
        <v>46021</v>
      </c>
      <c r="AA31" s="22" t="s">
        <v>17</v>
      </c>
      <c r="AB31" s="22"/>
      <c r="AD31">
        <v>1950</v>
      </c>
      <c r="AE31" t="s">
        <v>207</v>
      </c>
    </row>
    <row r="32" spans="2:31">
      <c r="B32" s="8"/>
      <c r="C32" s="9"/>
      <c r="D32" s="57"/>
      <c r="E32" s="57"/>
      <c r="F32" s="57"/>
      <c r="G32" s="57"/>
      <c r="H32" s="9"/>
      <c r="I32" s="51"/>
      <c r="J32" s="9"/>
      <c r="K32" s="57"/>
      <c r="L32" s="12"/>
      <c r="M32" s="57"/>
      <c r="N32" s="51"/>
      <c r="O32" s="51"/>
      <c r="P32" s="12"/>
      <c r="Q32" s="12"/>
      <c r="R32" s="87"/>
      <c r="S32" s="24"/>
      <c r="T32" s="24"/>
      <c r="U32" s="24"/>
      <c r="V32" s="24"/>
      <c r="W32" s="24"/>
      <c r="X32" s="24"/>
      <c r="Z32" s="144">
        <v>46022</v>
      </c>
      <c r="AA32" s="22" t="s">
        <v>20</v>
      </c>
      <c r="AB32" s="22"/>
      <c r="AD32">
        <v>1961</v>
      </c>
      <c r="AE32" t="s">
        <v>234</v>
      </c>
    </row>
    <row r="33" spans="2:31">
      <c r="B33" s="10"/>
      <c r="C33" s="11"/>
      <c r="D33" s="58"/>
      <c r="E33" s="58"/>
      <c r="F33" s="58"/>
      <c r="G33" s="58"/>
      <c r="H33" s="11"/>
      <c r="I33" s="52"/>
      <c r="J33" s="11"/>
      <c r="K33" s="58"/>
      <c r="L33" s="13"/>
      <c r="M33" s="58"/>
      <c r="N33" s="52"/>
      <c r="O33" s="52"/>
      <c r="P33" s="13"/>
      <c r="Q33" s="13"/>
      <c r="R33"/>
      <c r="Z33" s="21"/>
      <c r="AA33" s="22"/>
      <c r="AB33" s="22"/>
      <c r="AD33">
        <v>1954</v>
      </c>
      <c r="AE33" t="s">
        <v>238</v>
      </c>
    </row>
    <row r="34" spans="2:31">
      <c r="B34" s="8"/>
      <c r="C34" s="9"/>
      <c r="D34" s="57"/>
      <c r="E34" s="57"/>
      <c r="F34" s="57"/>
      <c r="G34" s="57"/>
      <c r="H34" s="9"/>
      <c r="I34" s="51"/>
      <c r="J34" s="9"/>
      <c r="K34" s="57"/>
      <c r="L34" s="12"/>
      <c r="M34" s="57"/>
      <c r="N34" s="51"/>
      <c r="O34" s="51"/>
      <c r="P34" s="12"/>
      <c r="Q34" s="12"/>
      <c r="R34" s="86"/>
      <c r="S34" s="24"/>
      <c r="T34" s="24"/>
      <c r="U34" s="24"/>
      <c r="V34" s="24"/>
      <c r="W34" s="24"/>
      <c r="X34" s="24"/>
      <c r="Z34" s="21"/>
      <c r="AA34" s="22"/>
      <c r="AB34" s="22"/>
      <c r="AD34">
        <v>1966</v>
      </c>
      <c r="AE34" t="s">
        <v>252</v>
      </c>
    </row>
    <row r="35" spans="2:31">
      <c r="B35" s="10"/>
      <c r="C35" s="11"/>
      <c r="D35" s="58"/>
      <c r="E35" s="58"/>
      <c r="F35" s="58"/>
      <c r="G35" s="58"/>
      <c r="H35" s="11"/>
      <c r="I35" s="52"/>
      <c r="J35" s="11"/>
      <c r="K35" s="58"/>
      <c r="L35" s="13"/>
      <c r="M35" s="58"/>
      <c r="N35" s="52"/>
      <c r="O35" s="52"/>
      <c r="P35" s="13"/>
      <c r="Q35" s="13"/>
      <c r="R35"/>
      <c r="Z35" s="21"/>
      <c r="AA35" s="22"/>
      <c r="AB35" s="22"/>
      <c r="AD35">
        <v>1996</v>
      </c>
      <c r="AE35" t="s">
        <v>257</v>
      </c>
    </row>
    <row r="36" spans="2:31">
      <c r="B36" s="8"/>
      <c r="C36" s="9"/>
      <c r="D36" s="57"/>
      <c r="E36" s="57"/>
      <c r="F36" s="57"/>
      <c r="G36" s="57"/>
      <c r="H36" s="9"/>
      <c r="I36" s="51"/>
      <c r="J36" s="9"/>
      <c r="K36" s="57"/>
      <c r="L36" s="12"/>
      <c r="M36" s="57"/>
      <c r="N36" s="51"/>
      <c r="O36" s="51"/>
      <c r="P36" s="12"/>
      <c r="Q36" s="12"/>
      <c r="R36" s="86"/>
      <c r="S36" s="24"/>
      <c r="T36" s="24"/>
      <c r="U36" s="24"/>
      <c r="V36" s="24"/>
      <c r="W36" s="24"/>
      <c r="X36" s="24"/>
      <c r="Z36" s="21"/>
      <c r="AA36" s="22"/>
      <c r="AB36" s="22"/>
      <c r="AD36">
        <v>1972</v>
      </c>
      <c r="AE36" t="s">
        <v>527</v>
      </c>
    </row>
    <row r="37" spans="2:31">
      <c r="B37" s="10"/>
      <c r="C37" s="11"/>
      <c r="D37" s="58"/>
      <c r="E37" s="58"/>
      <c r="F37" s="58"/>
      <c r="G37" s="58"/>
      <c r="H37" s="11"/>
      <c r="I37" s="52"/>
      <c r="J37" s="11"/>
      <c r="K37" s="58"/>
      <c r="L37" s="13"/>
      <c r="M37" s="58"/>
      <c r="N37" s="52"/>
      <c r="O37" s="52"/>
      <c r="P37" s="13"/>
      <c r="Q37" s="13"/>
      <c r="R37"/>
      <c r="AD37">
        <v>1994</v>
      </c>
      <c r="AE37" t="s">
        <v>208</v>
      </c>
    </row>
    <row r="38" spans="2:31">
      <c r="B38" s="8"/>
      <c r="C38" s="9"/>
      <c r="D38" s="57"/>
      <c r="E38" s="57"/>
      <c r="F38" s="57"/>
      <c r="G38" s="57"/>
      <c r="H38" s="9"/>
      <c r="I38" s="51"/>
      <c r="J38" s="9"/>
      <c r="K38" s="57"/>
      <c r="L38" s="12"/>
      <c r="M38" s="57"/>
      <c r="N38" s="51"/>
      <c r="O38" s="51"/>
      <c r="P38" s="12"/>
      <c r="Q38" s="12"/>
      <c r="R38" s="86"/>
      <c r="S38" s="24"/>
      <c r="T38" s="24"/>
      <c r="U38" s="24"/>
      <c r="V38" s="24"/>
      <c r="W38" s="24"/>
      <c r="X38" s="24"/>
      <c r="AD38">
        <v>1996</v>
      </c>
      <c r="AE38" t="s">
        <v>209</v>
      </c>
    </row>
    <row r="39" spans="2:31">
      <c r="B39" s="10"/>
      <c r="C39" s="11"/>
      <c r="D39" s="58"/>
      <c r="E39" s="58"/>
      <c r="F39" s="58"/>
      <c r="G39" s="58"/>
      <c r="H39" s="11"/>
      <c r="I39" s="52"/>
      <c r="J39" s="11"/>
      <c r="K39" s="58"/>
      <c r="L39" s="13"/>
      <c r="M39" s="58"/>
      <c r="N39" s="52"/>
      <c r="O39" s="52"/>
      <c r="P39" s="13"/>
      <c r="Q39" s="13"/>
      <c r="R39"/>
      <c r="AD39">
        <v>2011</v>
      </c>
      <c r="AE39" t="s">
        <v>210</v>
      </c>
    </row>
    <row r="40" spans="2:31">
      <c r="B40" s="8"/>
      <c r="C40" s="9"/>
      <c r="D40" s="57"/>
      <c r="E40" s="57"/>
      <c r="F40" s="57"/>
      <c r="G40" s="57"/>
      <c r="H40" s="9"/>
      <c r="I40" s="51"/>
      <c r="J40" s="9"/>
      <c r="K40" s="57"/>
      <c r="L40" s="12"/>
      <c r="M40" s="57"/>
      <c r="N40" s="51"/>
      <c r="O40" s="51"/>
      <c r="P40" s="12"/>
      <c r="Q40" s="12"/>
      <c r="R40" s="86"/>
      <c r="S40" s="24"/>
      <c r="T40" s="24"/>
      <c r="U40" s="24"/>
      <c r="V40" s="24"/>
      <c r="W40" s="24"/>
      <c r="X40" s="24"/>
      <c r="AD40">
        <v>2012</v>
      </c>
      <c r="AE40" t="s">
        <v>211</v>
      </c>
    </row>
    <row r="41" spans="2:31">
      <c r="B41" s="10"/>
      <c r="C41" s="11"/>
      <c r="D41" s="58"/>
      <c r="E41" s="58"/>
      <c r="F41" s="58"/>
      <c r="G41" s="58"/>
      <c r="H41" s="11"/>
      <c r="I41" s="52"/>
      <c r="J41" s="11"/>
      <c r="K41" s="58"/>
      <c r="L41" s="13"/>
      <c r="M41" s="58"/>
      <c r="N41" s="52"/>
      <c r="O41" s="52"/>
      <c r="P41" s="13"/>
      <c r="Q41" s="13"/>
      <c r="R41"/>
      <c r="Z41" s="21"/>
      <c r="AA41" s="22"/>
      <c r="AB41" s="22"/>
      <c r="AD41">
        <v>2019</v>
      </c>
      <c r="AE41" t="s">
        <v>212</v>
      </c>
    </row>
    <row r="42" spans="2:31">
      <c r="B42" s="8"/>
      <c r="C42" s="9"/>
      <c r="D42" s="57"/>
      <c r="E42" s="57"/>
      <c r="F42" s="57"/>
      <c r="G42" s="57"/>
      <c r="H42" s="9"/>
      <c r="I42" s="51"/>
      <c r="J42" s="9"/>
      <c r="K42" s="57"/>
      <c r="L42" s="12"/>
      <c r="M42" s="57"/>
      <c r="N42" s="51"/>
      <c r="O42" s="51"/>
      <c r="P42" s="12"/>
      <c r="Q42" s="12"/>
      <c r="R42" s="86"/>
      <c r="S42" s="24"/>
      <c r="T42" s="24"/>
      <c r="U42" s="24"/>
      <c r="V42" s="24"/>
      <c r="W42" s="24"/>
      <c r="X42" s="24"/>
      <c r="Z42" s="21"/>
      <c r="AA42" s="22"/>
      <c r="AB42" s="22"/>
      <c r="AD42" s="8">
        <v>2112</v>
      </c>
      <c r="AE42" s="9" t="s">
        <v>505</v>
      </c>
    </row>
    <row r="43" spans="2:31">
      <c r="B43" s="10"/>
      <c r="C43" s="11"/>
      <c r="D43" s="58"/>
      <c r="E43" s="58"/>
      <c r="F43" s="58"/>
      <c r="G43" s="58"/>
      <c r="H43" s="11"/>
      <c r="I43" s="52"/>
      <c r="J43" s="11"/>
      <c r="K43" s="58"/>
      <c r="L43" s="13"/>
      <c r="M43" s="58"/>
      <c r="N43" s="52"/>
      <c r="O43" s="52"/>
      <c r="P43" s="13"/>
      <c r="Q43" s="13"/>
      <c r="R43"/>
      <c r="Z43" s="21"/>
      <c r="AA43" s="22"/>
      <c r="AB43" s="22"/>
      <c r="AD43" s="10">
        <v>2095</v>
      </c>
      <c r="AE43" s="11" t="s">
        <v>526</v>
      </c>
    </row>
    <row r="44" spans="2:31">
      <c r="B44" s="8"/>
      <c r="C44" s="9"/>
      <c r="D44" s="57"/>
      <c r="E44" s="57"/>
      <c r="F44" s="57"/>
      <c r="G44" s="57"/>
      <c r="H44" s="9"/>
      <c r="I44" s="51"/>
      <c r="J44" s="9"/>
      <c r="K44" s="57"/>
      <c r="L44" s="12"/>
      <c r="M44" s="57"/>
      <c r="N44" s="51"/>
      <c r="O44" s="51"/>
      <c r="P44" s="12"/>
      <c r="Q44" s="12"/>
      <c r="R44" s="86"/>
      <c r="S44" s="24"/>
      <c r="T44" s="24"/>
      <c r="U44" s="24"/>
      <c r="V44" s="24"/>
      <c r="W44" s="24"/>
      <c r="X44" s="24"/>
      <c r="Z44" s="21"/>
      <c r="AA44" s="22"/>
      <c r="AB44" s="22"/>
      <c r="AD44">
        <v>1783</v>
      </c>
      <c r="AE44" t="s">
        <v>259</v>
      </c>
    </row>
    <row r="45" spans="2:31">
      <c r="B45" s="10"/>
      <c r="C45" s="11"/>
      <c r="D45" s="58"/>
      <c r="E45" s="58"/>
      <c r="F45" s="58"/>
      <c r="G45" s="58"/>
      <c r="H45" s="11"/>
      <c r="I45" s="52"/>
      <c r="J45" s="11"/>
      <c r="K45" s="58"/>
      <c r="L45" s="13"/>
      <c r="M45" s="58"/>
      <c r="N45" s="52"/>
      <c r="O45" s="52"/>
      <c r="P45" s="13"/>
      <c r="Q45" s="13"/>
      <c r="R45"/>
      <c r="Z45" s="21"/>
      <c r="AA45" s="22"/>
      <c r="AB45" s="22"/>
      <c r="AD45">
        <v>1835</v>
      </c>
      <c r="AE45" t="s">
        <v>260</v>
      </c>
    </row>
    <row r="46" spans="2:31">
      <c r="B46" s="10"/>
      <c r="C46" s="11"/>
      <c r="D46" s="58"/>
      <c r="E46" s="58"/>
      <c r="F46" s="58"/>
      <c r="G46" s="58"/>
      <c r="H46" s="11"/>
      <c r="I46" s="52"/>
      <c r="J46" s="11"/>
      <c r="K46" s="58"/>
      <c r="L46" s="13"/>
      <c r="M46" s="58"/>
      <c r="N46" s="52"/>
      <c r="O46" s="52"/>
      <c r="P46" s="13"/>
      <c r="Q46" s="13"/>
      <c r="R46"/>
      <c r="Z46" s="21"/>
      <c r="AA46" s="22"/>
      <c r="AB46" s="22"/>
    </row>
    <row r="47" spans="2:31">
      <c r="B47" s="10"/>
      <c r="C47" s="11"/>
      <c r="D47" s="58"/>
      <c r="E47" s="58"/>
      <c r="F47" s="58"/>
      <c r="G47" s="58"/>
      <c r="H47" s="11"/>
      <c r="I47" s="52"/>
      <c r="J47" s="11"/>
      <c r="K47" s="58"/>
      <c r="L47" s="13"/>
      <c r="M47" s="58"/>
      <c r="N47" s="52"/>
      <c r="O47" s="52"/>
      <c r="P47" s="13"/>
      <c r="Q47" s="13"/>
      <c r="R47"/>
      <c r="Z47" s="21"/>
      <c r="AA47" s="22"/>
      <c r="AB47" s="22"/>
    </row>
    <row r="48" spans="2:31">
      <c r="B48" s="10"/>
      <c r="C48" s="11"/>
      <c r="D48" s="58"/>
      <c r="E48" s="58"/>
      <c r="F48" s="58"/>
      <c r="G48" s="58"/>
      <c r="H48" s="11"/>
      <c r="I48" s="52"/>
      <c r="J48" s="11"/>
      <c r="K48" s="58"/>
      <c r="L48" s="13"/>
      <c r="M48" s="58"/>
      <c r="N48" s="52"/>
      <c r="O48" s="52"/>
      <c r="P48" s="13"/>
      <c r="Q48" s="13"/>
      <c r="R48"/>
      <c r="Z48" s="21"/>
      <c r="AA48" s="22"/>
      <c r="AB48" s="22"/>
    </row>
    <row r="49" spans="2:31">
      <c r="B49" s="10"/>
      <c r="C49" s="11"/>
      <c r="D49" s="58"/>
      <c r="E49" s="58"/>
      <c r="F49" s="58"/>
      <c r="G49" s="58"/>
      <c r="H49" s="11"/>
      <c r="I49" s="52"/>
      <c r="J49" s="11"/>
      <c r="K49" s="58"/>
      <c r="L49" s="13"/>
      <c r="M49" s="58"/>
      <c r="N49" s="52"/>
      <c r="O49" s="52"/>
      <c r="P49" s="13"/>
      <c r="Q49" s="13"/>
      <c r="R49"/>
      <c r="Z49" s="21"/>
      <c r="AA49" s="22"/>
      <c r="AB49" s="22"/>
    </row>
    <row r="50" spans="2:31">
      <c r="B50" s="10"/>
      <c r="C50" s="11"/>
      <c r="D50" s="58"/>
      <c r="E50" s="58"/>
      <c r="F50" s="58"/>
      <c r="G50" s="58"/>
      <c r="H50" s="11"/>
      <c r="I50" s="52"/>
      <c r="J50" s="11"/>
      <c r="K50" s="58"/>
      <c r="L50" s="13"/>
      <c r="M50" s="58"/>
      <c r="N50" s="52"/>
      <c r="O50" s="52"/>
      <c r="P50" s="13"/>
      <c r="Q50" s="13"/>
      <c r="R50"/>
      <c r="Z50" s="21"/>
      <c r="AA50" s="22"/>
      <c r="AB50" s="22"/>
    </row>
    <row r="51" spans="2:31">
      <c r="B51" s="10"/>
      <c r="C51" s="11"/>
      <c r="D51" s="58"/>
      <c r="E51" s="58"/>
      <c r="F51" s="58"/>
      <c r="G51" s="58"/>
      <c r="H51" s="11"/>
      <c r="I51" s="52"/>
      <c r="J51" s="11"/>
      <c r="K51" s="58"/>
      <c r="L51" s="13"/>
      <c r="M51" s="58"/>
      <c r="N51" s="52"/>
      <c r="O51" s="52"/>
      <c r="P51" s="13"/>
      <c r="Q51" s="13"/>
      <c r="R51"/>
      <c r="Z51" s="21"/>
      <c r="AA51" s="22"/>
      <c r="AB51" s="22"/>
    </row>
    <row r="52" spans="2:31">
      <c r="B52" s="10"/>
      <c r="C52" s="11"/>
      <c r="D52" s="58"/>
      <c r="E52" s="58"/>
      <c r="F52" s="58"/>
      <c r="G52" s="58"/>
      <c r="H52" s="11"/>
      <c r="I52" s="52"/>
      <c r="J52" s="11"/>
      <c r="K52" s="58"/>
      <c r="L52" s="13"/>
      <c r="M52" s="58"/>
      <c r="N52" s="52"/>
      <c r="O52" s="52"/>
      <c r="P52" s="13"/>
      <c r="Q52" s="13"/>
      <c r="R52"/>
      <c r="Z52" s="21"/>
      <c r="AA52" s="22"/>
      <c r="AB52" s="22"/>
    </row>
    <row r="53" spans="2:31">
      <c r="B53" s="10"/>
      <c r="C53" s="11"/>
      <c r="D53" s="58"/>
      <c r="E53" s="58"/>
      <c r="F53" s="58"/>
      <c r="G53" s="58"/>
      <c r="H53" s="11"/>
      <c r="I53" s="52"/>
      <c r="J53" s="11"/>
      <c r="K53" s="58"/>
      <c r="L53" s="13"/>
      <c r="M53" s="58"/>
      <c r="N53" s="52"/>
      <c r="O53" s="52"/>
      <c r="P53" s="13"/>
      <c r="Q53" s="13"/>
      <c r="R53"/>
      <c r="Z53" s="21"/>
      <c r="AA53" s="22"/>
      <c r="AB53" s="22"/>
    </row>
    <row r="54" spans="2:31">
      <c r="B54" s="10"/>
      <c r="C54" s="11"/>
      <c r="D54" s="58"/>
      <c r="E54" s="58"/>
      <c r="F54" s="58"/>
      <c r="G54" s="58"/>
      <c r="H54" s="11"/>
      <c r="I54" s="52"/>
      <c r="J54" s="11"/>
      <c r="K54" s="58"/>
      <c r="L54" s="13"/>
      <c r="M54" s="58"/>
      <c r="N54" s="52"/>
      <c r="O54" s="52"/>
      <c r="P54" s="13"/>
      <c r="Q54" s="13"/>
      <c r="R54"/>
      <c r="Z54" s="21"/>
      <c r="AA54" s="22"/>
      <c r="AB54" s="22"/>
    </row>
    <row r="55" spans="2:31">
      <c r="B55" s="10"/>
      <c r="C55" s="11"/>
      <c r="D55" s="58"/>
      <c r="E55" s="58"/>
      <c r="F55" s="58"/>
      <c r="G55" s="58"/>
      <c r="H55" s="11"/>
      <c r="I55" s="52"/>
      <c r="J55" s="11"/>
      <c r="K55" s="58"/>
      <c r="L55" s="13"/>
      <c r="M55" s="58"/>
      <c r="N55" s="52"/>
      <c r="O55" s="52"/>
      <c r="P55" s="13"/>
      <c r="Q55" s="13"/>
      <c r="R55"/>
      <c r="Z55" s="21"/>
      <c r="AA55" s="22"/>
      <c r="AB55" s="22"/>
    </row>
    <row r="56" spans="2:31">
      <c r="B56" s="8"/>
      <c r="C56" s="9"/>
      <c r="D56" s="57"/>
      <c r="E56" s="57"/>
      <c r="F56" s="57"/>
      <c r="G56" s="57"/>
      <c r="H56" s="9"/>
      <c r="I56" s="51"/>
      <c r="J56" s="9"/>
      <c r="K56" s="57"/>
      <c r="L56" s="12"/>
      <c r="M56" s="57"/>
      <c r="N56" s="51"/>
      <c r="O56" s="51"/>
      <c r="P56" s="12"/>
      <c r="Q56" s="12"/>
      <c r="R56" s="86"/>
      <c r="S56" s="24"/>
      <c r="T56" s="24"/>
      <c r="U56" s="24"/>
      <c r="V56" s="24"/>
      <c r="W56" s="24"/>
      <c r="X56" s="24"/>
      <c r="AD56">
        <v>1869</v>
      </c>
      <c r="AE56" t="s">
        <v>261</v>
      </c>
    </row>
    <row r="57" spans="2:31">
      <c r="B57" s="3"/>
      <c r="C57" s="4"/>
      <c r="D57" s="59"/>
      <c r="E57" s="59"/>
      <c r="F57" s="59"/>
      <c r="G57" s="59"/>
      <c r="H57" s="4"/>
      <c r="I57" s="53"/>
      <c r="J57" s="4"/>
      <c r="K57" s="59"/>
      <c r="L57" s="14"/>
      <c r="M57" s="59"/>
      <c r="N57" s="53"/>
      <c r="O57" s="53"/>
      <c r="P57" s="14"/>
      <c r="Q57" s="14"/>
      <c r="AD57">
        <v>2052</v>
      </c>
      <c r="AE57" t="s">
        <v>213</v>
      </c>
    </row>
    <row r="58" spans="2:31">
      <c r="AD58">
        <v>2126</v>
      </c>
      <c r="AE58" t="s">
        <v>214</v>
      </c>
    </row>
    <row r="59" spans="2:31">
      <c r="AD59">
        <v>2058</v>
      </c>
      <c r="AE59" t="s">
        <v>215</v>
      </c>
    </row>
    <row r="60" spans="2:31">
      <c r="AD60">
        <v>2060</v>
      </c>
      <c r="AE60" t="s">
        <v>216</v>
      </c>
    </row>
    <row r="61" spans="2:31">
      <c r="B61" t="s">
        <v>56</v>
      </c>
      <c r="C61" s="29" t="s">
        <v>115</v>
      </c>
      <c r="D61" s="68">
        <f ca="1">TODAY()</f>
        <v>45776</v>
      </c>
      <c r="G61" s="30" t="s">
        <v>136</v>
      </c>
      <c r="H61" s="36">
        <v>1.7361111111111112E-2</v>
      </c>
      <c r="I61" s="30" t="s">
        <v>178</v>
      </c>
      <c r="J61" s="36">
        <v>4.8611111111111112E-3</v>
      </c>
      <c r="K61" s="38">
        <v>2.5</v>
      </c>
      <c r="L61" s="15" t="s">
        <v>129</v>
      </c>
      <c r="M61" s="35">
        <v>0.42708333333333331</v>
      </c>
      <c r="N61" s="36">
        <v>0.45833333333333331</v>
      </c>
      <c r="O61" s="36">
        <v>0.52083333333333337</v>
      </c>
      <c r="P61" s="36">
        <v>0.5625</v>
      </c>
      <c r="Q61" s="37">
        <v>7.2916666666666671E-2</v>
      </c>
      <c r="R61" s="37">
        <v>3.125E-2</v>
      </c>
      <c r="S61" s="37">
        <v>4.1666666666666664E-2</v>
      </c>
      <c r="U61" s="81" t="s">
        <v>145</v>
      </c>
    </row>
    <row r="62" spans="2:31">
      <c r="B62" t="s">
        <v>58</v>
      </c>
      <c r="C62" s="29" t="s">
        <v>116</v>
      </c>
      <c r="D62" s="68">
        <f ca="1">TODAY()+1</f>
        <v>45777</v>
      </c>
      <c r="G62" s="30" t="s">
        <v>137</v>
      </c>
      <c r="H62" s="36">
        <v>1.3888888888888888E-2</v>
      </c>
      <c r="I62" s="30" t="s">
        <v>179</v>
      </c>
      <c r="J62" s="36">
        <v>4.8611111111111112E-3</v>
      </c>
      <c r="K62" s="38">
        <v>2.5</v>
      </c>
      <c r="L62" s="15" t="s">
        <v>130</v>
      </c>
      <c r="M62" s="35">
        <v>0.375</v>
      </c>
      <c r="N62" s="36">
        <v>0.40972222222222227</v>
      </c>
      <c r="O62" s="36">
        <v>0.4861111111111111</v>
      </c>
      <c r="P62" s="36">
        <v>0.52083333333333337</v>
      </c>
      <c r="Q62" s="37">
        <v>6.9444444444444434E-2</v>
      </c>
      <c r="R62" s="37">
        <v>3.4722222222222224E-2</v>
      </c>
      <c r="S62" s="37">
        <v>3.4722222222222224E-2</v>
      </c>
    </row>
    <row r="63" spans="2:31">
      <c r="C63" s="29" t="s">
        <v>120</v>
      </c>
      <c r="D63" s="68">
        <f ca="1">TODAY()+2</f>
        <v>45778</v>
      </c>
      <c r="L63" s="15" t="s">
        <v>131</v>
      </c>
      <c r="M63" s="35">
        <v>0.70833333333333337</v>
      </c>
      <c r="N63" s="36">
        <v>0.75</v>
      </c>
      <c r="P63" s="140" t="s">
        <v>255</v>
      </c>
      <c r="Q63" s="36"/>
      <c r="R63" s="37">
        <v>4.1666666666666664E-2</v>
      </c>
      <c r="S63" s="36"/>
      <c r="AD63">
        <v>2063</v>
      </c>
      <c r="AE63" t="s">
        <v>217</v>
      </c>
    </row>
    <row r="64" spans="2:31">
      <c r="B64" s="110" t="s">
        <v>221</v>
      </c>
      <c r="C64" s="29" t="s">
        <v>151</v>
      </c>
      <c r="D64" s="68">
        <f ca="1">TODAY()+3</f>
        <v>45779</v>
      </c>
      <c r="G64" s="35" t="s">
        <v>143</v>
      </c>
      <c r="H64" s="69">
        <v>0.91666666666666696</v>
      </c>
      <c r="L64" s="15" t="s">
        <v>132</v>
      </c>
      <c r="M64" s="35">
        <v>0.66666666666666663</v>
      </c>
      <c r="N64" s="36">
        <v>0.70833333333333337</v>
      </c>
      <c r="P64" s="69">
        <v>9.7222222222222224E-3</v>
      </c>
      <c r="Q64" s="36"/>
      <c r="R64" s="37">
        <v>4.1666666666666664E-2</v>
      </c>
      <c r="S64" s="36"/>
      <c r="AD64">
        <v>2064</v>
      </c>
      <c r="AE64" t="s">
        <v>218</v>
      </c>
    </row>
    <row r="65" spans="2:31">
      <c r="B65" s="111" t="s">
        <v>222</v>
      </c>
      <c r="C65" s="29" t="s">
        <v>152</v>
      </c>
      <c r="D65" s="68">
        <f ca="1">TODAY()+4</f>
        <v>45780</v>
      </c>
      <c r="G65" s="29" t="str">
        <f>データシート２!F47</f>
        <v/>
      </c>
      <c r="H65" s="36" t="e">
        <f>H64-G65</f>
        <v>#VALUE!</v>
      </c>
      <c r="J65" s="80" t="s">
        <v>144</v>
      </c>
      <c r="K65" s="69">
        <v>0.41666666666666669</v>
      </c>
      <c r="L65"/>
      <c r="AD65">
        <v>2069</v>
      </c>
      <c r="AE65" t="s">
        <v>219</v>
      </c>
    </row>
    <row r="66" spans="2:31">
      <c r="B66" t="s">
        <v>225</v>
      </c>
      <c r="C66" s="29" t="s">
        <v>177</v>
      </c>
      <c r="D66" s="68">
        <f ca="1">TODAY()+5</f>
        <v>45781</v>
      </c>
      <c r="H66" s="36" t="e">
        <f>G65-H64</f>
        <v>#VALUE!</v>
      </c>
      <c r="J66" s="80" t="s">
        <v>231</v>
      </c>
      <c r="K66" s="36">
        <v>0.5</v>
      </c>
    </row>
    <row r="67" spans="2:31">
      <c r="C67" s="29" t="s">
        <v>187</v>
      </c>
      <c r="D67" s="68">
        <f ca="1">TODAY()+6</f>
        <v>45782</v>
      </c>
      <c r="AD67">
        <v>2083</v>
      </c>
      <c r="AE67" t="s">
        <v>220</v>
      </c>
    </row>
    <row r="68" spans="2:31">
      <c r="B68" t="s">
        <v>46</v>
      </c>
      <c r="D68" s="60" t="s">
        <v>69</v>
      </c>
      <c r="E68" s="60" t="s">
        <v>70</v>
      </c>
      <c r="F68" s="60" t="s">
        <v>71</v>
      </c>
      <c r="G68" s="60" t="s">
        <v>72</v>
      </c>
      <c r="H68" s="26" t="s">
        <v>73</v>
      </c>
      <c r="I68" s="54" t="s">
        <v>74</v>
      </c>
      <c r="J68" s="26" t="s">
        <v>75</v>
      </c>
      <c r="K68" s="60" t="s">
        <v>76</v>
      </c>
      <c r="L68" s="47" t="s">
        <v>77</v>
      </c>
      <c r="M68" s="60" t="s">
        <v>78</v>
      </c>
      <c r="N68" s="54" t="s">
        <v>79</v>
      </c>
      <c r="O68" s="54" t="s">
        <v>80</v>
      </c>
      <c r="P68" s="47" t="s">
        <v>68</v>
      </c>
      <c r="Q68" s="47" t="s">
        <v>81</v>
      </c>
      <c r="R68" s="47" t="s">
        <v>82</v>
      </c>
      <c r="S68" s="47" t="s">
        <v>83</v>
      </c>
      <c r="T68" s="47" t="s">
        <v>84</v>
      </c>
      <c r="U68" s="47" t="s">
        <v>85</v>
      </c>
      <c r="V68" s="47" t="s">
        <v>86</v>
      </c>
      <c r="W68" s="47" t="s">
        <v>87</v>
      </c>
      <c r="X68" s="47" t="s">
        <v>88</v>
      </c>
    </row>
    <row r="69" spans="2:31">
      <c r="B69" s="26" t="s">
        <v>30</v>
      </c>
      <c r="C69" s="26" t="s">
        <v>47</v>
      </c>
      <c r="D69" s="35" t="s">
        <v>29</v>
      </c>
      <c r="E69" s="35" t="s">
        <v>28</v>
      </c>
      <c r="F69" s="35" t="s">
        <v>31</v>
      </c>
      <c r="G69" s="35" t="s">
        <v>28</v>
      </c>
      <c r="H69" t="s">
        <v>32</v>
      </c>
      <c r="I69" s="36" t="s">
        <v>34</v>
      </c>
      <c r="J69" t="s">
        <v>33</v>
      </c>
      <c r="K69" s="35" t="s">
        <v>35</v>
      </c>
      <c r="L69" s="15" t="s">
        <v>36</v>
      </c>
      <c r="M69" s="35" t="s">
        <v>38</v>
      </c>
      <c r="N69" s="36" t="s">
        <v>39</v>
      </c>
      <c r="O69" s="36" t="s">
        <v>40</v>
      </c>
      <c r="P69" s="15" t="s">
        <v>41</v>
      </c>
      <c r="Q69" s="15" t="s">
        <v>51</v>
      </c>
      <c r="R69" s="108" t="s">
        <v>195</v>
      </c>
      <c r="S69" s="15" t="s">
        <v>42</v>
      </c>
      <c r="T69" s="15" t="s">
        <v>43</v>
      </c>
      <c r="U69" s="15" t="s">
        <v>44</v>
      </c>
      <c r="V69" s="15" t="s">
        <v>45</v>
      </c>
      <c r="W69" s="29"/>
      <c r="AD69">
        <v>2111</v>
      </c>
      <c r="AE69" t="s">
        <v>479</v>
      </c>
    </row>
    <row r="70" spans="2:31">
      <c r="B70" s="26"/>
      <c r="C70" s="26"/>
      <c r="W70" s="29"/>
      <c r="AD70">
        <v>2114</v>
      </c>
      <c r="AE70" t="s">
        <v>481</v>
      </c>
    </row>
    <row r="71" spans="2:31">
      <c r="B71" s="43" t="s">
        <v>528</v>
      </c>
      <c r="C71" s="44"/>
      <c r="D71" s="36">
        <v>0.3659722222222222</v>
      </c>
      <c r="E71" s="35">
        <v>0.3659722222222222</v>
      </c>
      <c r="F71" s="35">
        <v>0.43958333333333333</v>
      </c>
      <c r="G71" s="35">
        <v>0.43958333333333333</v>
      </c>
      <c r="H71" s="29" t="s">
        <v>37</v>
      </c>
      <c r="I71" s="37">
        <v>0.37291666666666667</v>
      </c>
      <c r="J71" s="29" t="s">
        <v>37</v>
      </c>
      <c r="K71" s="37">
        <v>0.43263888888888891</v>
      </c>
      <c r="L71" s="28" t="s">
        <v>62</v>
      </c>
      <c r="M71" s="30">
        <v>0.37708333333333333</v>
      </c>
      <c r="N71" s="37">
        <v>0.43055555555555558</v>
      </c>
      <c r="O71" s="30">
        <v>5.9722222222222225E-2</v>
      </c>
      <c r="P71" s="38">
        <v>18.600000000000001</v>
      </c>
      <c r="Q71" s="35">
        <v>5.9722222222222225E-2</v>
      </c>
      <c r="W71" s="29" t="s">
        <v>106</v>
      </c>
    </row>
    <row r="72" spans="2:31">
      <c r="B72" s="43" t="s">
        <v>551</v>
      </c>
      <c r="C72" s="44"/>
      <c r="D72" s="35">
        <v>0.50486111111111109</v>
      </c>
      <c r="E72" s="35">
        <v>0.50486111111111109</v>
      </c>
      <c r="F72" s="35">
        <v>0.57847222222222228</v>
      </c>
      <c r="G72" s="35">
        <v>0.57847222222222228</v>
      </c>
      <c r="H72" s="29" t="s">
        <v>37</v>
      </c>
      <c r="I72" s="37">
        <v>0.51180555555555551</v>
      </c>
      <c r="J72" s="29" t="s">
        <v>37</v>
      </c>
      <c r="K72" s="37">
        <v>0.57152777777777775</v>
      </c>
      <c r="L72" s="28" t="s">
        <v>529</v>
      </c>
      <c r="M72" s="30">
        <v>0.51597222222222228</v>
      </c>
      <c r="N72" s="37">
        <v>0.56944444444444442</v>
      </c>
      <c r="O72" s="30">
        <v>5.9722222222222225E-2</v>
      </c>
      <c r="P72" s="38">
        <v>18.600000000000001</v>
      </c>
      <c r="Q72" s="35">
        <v>5.9722222222222225E-2</v>
      </c>
      <c r="W72" s="29" t="s">
        <v>106</v>
      </c>
      <c r="AD72">
        <v>2088</v>
      </c>
      <c r="AE72" t="s">
        <v>193</v>
      </c>
    </row>
    <row r="73" spans="2:31">
      <c r="B73" s="43" t="s">
        <v>552</v>
      </c>
      <c r="C73" s="44"/>
      <c r="D73" s="35">
        <v>0.64930555555555558</v>
      </c>
      <c r="E73" s="35">
        <v>0.64930555555555558</v>
      </c>
      <c r="F73" s="35">
        <v>0.77847222222222223</v>
      </c>
      <c r="G73" s="35">
        <v>0.77847222222222223</v>
      </c>
      <c r="H73" s="29" t="s">
        <v>37</v>
      </c>
      <c r="I73" s="37">
        <v>0.65625</v>
      </c>
      <c r="J73" s="29" t="s">
        <v>37</v>
      </c>
      <c r="K73" s="37">
        <v>0.77152777777777781</v>
      </c>
      <c r="L73" s="28" t="s">
        <v>166</v>
      </c>
      <c r="M73" s="30">
        <v>0.66041666666666665</v>
      </c>
      <c r="N73" s="37">
        <v>0.76944444444444449</v>
      </c>
      <c r="O73" s="30">
        <v>0.11527777777777778</v>
      </c>
      <c r="P73" s="38">
        <v>35</v>
      </c>
      <c r="Q73" s="35">
        <v>0.11527777777777778</v>
      </c>
      <c r="W73" s="29" t="s">
        <v>106</v>
      </c>
    </row>
    <row r="74" spans="2:31">
      <c r="B74" s="43" t="s">
        <v>553</v>
      </c>
      <c r="C74" s="44"/>
      <c r="D74" s="35">
        <v>0.64930555555555558</v>
      </c>
      <c r="E74" s="35">
        <v>0.64930555555555558</v>
      </c>
      <c r="F74" s="35">
        <v>0.77222222222222225</v>
      </c>
      <c r="G74" s="35">
        <v>0.77222222222222225</v>
      </c>
      <c r="H74" s="29" t="s">
        <v>37</v>
      </c>
      <c r="I74" s="37">
        <v>0.65625</v>
      </c>
      <c r="J74" s="29" t="s">
        <v>37</v>
      </c>
      <c r="K74" s="37">
        <v>0.76527777777777772</v>
      </c>
      <c r="L74" s="28" t="s">
        <v>166</v>
      </c>
      <c r="M74" s="30">
        <v>0.66041666666666665</v>
      </c>
      <c r="N74" s="37">
        <v>0.7583333333333333</v>
      </c>
      <c r="O74" s="30">
        <v>0.10902777777777778</v>
      </c>
      <c r="P74" s="38">
        <v>34.5</v>
      </c>
      <c r="Q74" s="35">
        <v>0.10902777777777778</v>
      </c>
      <c r="W74" s="29" t="s">
        <v>106</v>
      </c>
    </row>
    <row r="75" spans="2:31">
      <c r="B75" s="43" t="s">
        <v>554</v>
      </c>
      <c r="C75" s="44"/>
      <c r="D75" s="35">
        <v>0.79097222222222219</v>
      </c>
      <c r="E75" s="35">
        <v>0.79097222222222219</v>
      </c>
      <c r="F75" s="35">
        <v>0.87083333333333335</v>
      </c>
      <c r="G75" s="35">
        <v>0.87083333333333335</v>
      </c>
      <c r="H75" s="29" t="s">
        <v>37</v>
      </c>
      <c r="I75" s="37">
        <v>0.79791666666666672</v>
      </c>
      <c r="J75" s="29" t="s">
        <v>59</v>
      </c>
      <c r="K75" s="37">
        <v>0.86388888888888893</v>
      </c>
      <c r="L75" s="28" t="s">
        <v>168</v>
      </c>
      <c r="M75" s="30">
        <v>0.80555555555555558</v>
      </c>
      <c r="N75" s="37">
        <v>0.86388888888888893</v>
      </c>
      <c r="O75" s="30">
        <v>6.5972222222222224E-2</v>
      </c>
      <c r="P75" s="38">
        <v>29.6</v>
      </c>
      <c r="Q75" s="35">
        <v>6.5972222222222224E-2</v>
      </c>
      <c r="W75" s="29" t="s">
        <v>106</v>
      </c>
    </row>
    <row r="76" spans="2:31">
      <c r="B76" s="43" t="s">
        <v>555</v>
      </c>
      <c r="C76" s="44"/>
      <c r="D76" s="35">
        <v>0.79097222222222219</v>
      </c>
      <c r="E76" s="35">
        <v>0.79097222222222219</v>
      </c>
      <c r="F76" s="35">
        <v>0.90555555555555556</v>
      </c>
      <c r="G76" s="35">
        <v>0.90555555555555556</v>
      </c>
      <c r="H76" s="29" t="s">
        <v>37</v>
      </c>
      <c r="I76" s="37">
        <v>0.79791666666666672</v>
      </c>
      <c r="J76" s="29" t="s">
        <v>37</v>
      </c>
      <c r="K76" s="37">
        <v>0.89861111111111114</v>
      </c>
      <c r="L76" s="28" t="s">
        <v>168</v>
      </c>
      <c r="M76" s="30">
        <v>0.80555555555555558</v>
      </c>
      <c r="N76" s="37">
        <v>0.89861111111111114</v>
      </c>
      <c r="O76" s="30">
        <v>0.10069444444444445</v>
      </c>
      <c r="P76" s="38">
        <v>53.7</v>
      </c>
      <c r="Q76" s="35">
        <v>0.10069444444444445</v>
      </c>
      <c r="W76" s="29" t="s">
        <v>106</v>
      </c>
    </row>
    <row r="77" spans="2:31">
      <c r="B77" s="43" t="s">
        <v>263</v>
      </c>
      <c r="C77" s="85"/>
      <c r="D77" s="35">
        <v>0.3659722222222222</v>
      </c>
      <c r="E77" s="35">
        <v>0.3659722222222222</v>
      </c>
      <c r="F77" s="35">
        <v>0.90555555555555556</v>
      </c>
      <c r="G77" s="35">
        <v>0.90555555555555556</v>
      </c>
      <c r="H77" s="29" t="s">
        <v>37</v>
      </c>
      <c r="I77" s="37">
        <v>0.37291666666666667</v>
      </c>
      <c r="J77" s="29" t="s">
        <v>37</v>
      </c>
      <c r="K77" s="37">
        <v>0.89861111111111114</v>
      </c>
      <c r="L77" s="31" t="s">
        <v>530</v>
      </c>
      <c r="M77" s="30">
        <v>0.37708333333333333</v>
      </c>
      <c r="N77" s="37">
        <v>0.89861111111111114</v>
      </c>
      <c r="O77" s="30" t="str">
        <f ca="1">IF($A$4="平日","8:03","7:54")</f>
        <v>7:54</v>
      </c>
      <c r="P77" s="39">
        <f ca="1">IF($A$4="平日",125.9,125.4)</f>
        <v>125.4</v>
      </c>
      <c r="Q77" s="30" t="str">
        <f ca="1">IF($A$4="平日","8:23","8:14")</f>
        <v>8:14</v>
      </c>
      <c r="W77" s="29" t="s">
        <v>106</v>
      </c>
    </row>
    <row r="78" spans="2:31">
      <c r="B78" s="43" t="s">
        <v>264</v>
      </c>
      <c r="C78" s="45"/>
      <c r="D78" s="35">
        <v>0.3659722222222222</v>
      </c>
      <c r="E78" s="35">
        <v>0.3659722222222222</v>
      </c>
      <c r="F78" s="35">
        <v>0.87083333333333335</v>
      </c>
      <c r="G78" s="35">
        <v>0.87083333333333335</v>
      </c>
      <c r="H78" s="29" t="s">
        <v>37</v>
      </c>
      <c r="I78" s="37">
        <v>0.37291666666666667</v>
      </c>
      <c r="J78" s="29" t="s">
        <v>59</v>
      </c>
      <c r="K78" s="37">
        <v>0.87083333333333335</v>
      </c>
      <c r="L78" s="31" t="s">
        <v>530</v>
      </c>
      <c r="M78" s="30">
        <v>0.37708333333333333</v>
      </c>
      <c r="N78" s="37">
        <v>0.86388888888888893</v>
      </c>
      <c r="O78" s="30" t="str">
        <f ca="1">IF($A$4="平日","7:13","7:04")</f>
        <v>7:04</v>
      </c>
      <c r="P78" s="39">
        <f ca="1">IF($A$4="平日",101.8,101.3)</f>
        <v>101.3</v>
      </c>
      <c r="Q78" s="30" t="str">
        <f ca="1">IF($A$4="平日","7:33","7:24")</f>
        <v>7:24</v>
      </c>
      <c r="W78" s="29" t="s">
        <v>106</v>
      </c>
    </row>
    <row r="79" spans="2:31">
      <c r="B79" s="43" t="s">
        <v>556</v>
      </c>
      <c r="C79" s="44"/>
      <c r="D79" s="35">
        <v>0.27708333333333335</v>
      </c>
      <c r="E79" s="35">
        <v>0.27708333333333335</v>
      </c>
      <c r="F79" s="35">
        <v>0.36458333333333331</v>
      </c>
      <c r="G79" s="35">
        <v>0.36458333333333331</v>
      </c>
      <c r="H79" s="29" t="s">
        <v>59</v>
      </c>
      <c r="I79" s="37">
        <v>0.28749999999999998</v>
      </c>
      <c r="J79" s="29" t="s">
        <v>37</v>
      </c>
      <c r="K79" s="37">
        <v>0.3576388888888889</v>
      </c>
      <c r="L79" s="28" t="s">
        <v>168</v>
      </c>
      <c r="M79" s="30">
        <v>0.28749999999999998</v>
      </c>
      <c r="N79" s="37">
        <v>0.35069444444444442</v>
      </c>
      <c r="O79" s="30">
        <v>6.8750000000000006E-2</v>
      </c>
      <c r="P79" s="38">
        <v>29.6</v>
      </c>
      <c r="Q79" s="35">
        <v>6.8750000000000006E-2</v>
      </c>
      <c r="W79" s="29" t="s">
        <v>106</v>
      </c>
    </row>
    <row r="80" spans="2:31">
      <c r="B80" s="43" t="s">
        <v>557</v>
      </c>
      <c r="C80" s="44"/>
      <c r="D80" s="35">
        <v>0.24027777777777778</v>
      </c>
      <c r="E80" s="35">
        <v>0.24027777777777778</v>
      </c>
      <c r="F80" s="35">
        <v>0.36458333333333331</v>
      </c>
      <c r="G80" s="35">
        <v>0.36458333333333331</v>
      </c>
      <c r="H80" s="29" t="s">
        <v>37</v>
      </c>
      <c r="I80" s="37">
        <v>0.25069444444444444</v>
      </c>
      <c r="J80" s="29" t="s">
        <v>37</v>
      </c>
      <c r="K80" s="37">
        <v>0.3576388888888889</v>
      </c>
      <c r="L80" s="28" t="s">
        <v>168</v>
      </c>
      <c r="M80" s="30">
        <v>0.28749999999999998</v>
      </c>
      <c r="N80" s="37">
        <v>0.35069444444444442</v>
      </c>
      <c r="O80" s="30">
        <v>0.10555555555555556</v>
      </c>
      <c r="P80" s="38">
        <v>53.7</v>
      </c>
      <c r="Q80" s="35">
        <v>0.10555555555555556</v>
      </c>
      <c r="W80" s="29" t="s">
        <v>106</v>
      </c>
    </row>
    <row r="81" spans="2:31">
      <c r="B81" s="43" t="s">
        <v>531</v>
      </c>
      <c r="C81" s="44"/>
      <c r="D81" s="35">
        <v>0.37152777777777779</v>
      </c>
      <c r="E81" s="35">
        <v>0.37152777777777779</v>
      </c>
      <c r="F81" s="35">
        <v>0.44513888888888886</v>
      </c>
      <c r="G81" s="35">
        <v>0.44513888888888886</v>
      </c>
      <c r="H81" s="29" t="s">
        <v>37</v>
      </c>
      <c r="I81" s="37">
        <v>0.37847222222222221</v>
      </c>
      <c r="J81" s="29" t="s">
        <v>37</v>
      </c>
      <c r="K81" s="37">
        <v>0.43819444444444444</v>
      </c>
      <c r="L81" s="28" t="s">
        <v>166</v>
      </c>
      <c r="M81" s="30">
        <v>0.38263888888888886</v>
      </c>
      <c r="N81" s="37">
        <v>0.43611111111111112</v>
      </c>
      <c r="O81" s="30">
        <v>5.9722222222222225E-2</v>
      </c>
      <c r="P81" s="38">
        <v>18.600000000000001</v>
      </c>
      <c r="Q81" s="35">
        <v>5.9722222222222225E-2</v>
      </c>
      <c r="W81" s="29" t="s">
        <v>106</v>
      </c>
    </row>
    <row r="82" spans="2:31">
      <c r="B82" s="43" t="s">
        <v>265</v>
      </c>
      <c r="C82" s="85"/>
      <c r="D82" s="35">
        <v>0.24027777777777778</v>
      </c>
      <c r="E82" s="35">
        <v>0.24027777777777778</v>
      </c>
      <c r="F82" s="35">
        <v>0.44513888888888886</v>
      </c>
      <c r="G82" s="35">
        <v>0.44513888888888886</v>
      </c>
      <c r="H82" s="29" t="s">
        <v>37</v>
      </c>
      <c r="I82" s="37">
        <v>0.25069444444444444</v>
      </c>
      <c r="J82" s="29" t="s">
        <v>37</v>
      </c>
      <c r="K82" s="37">
        <v>0.43819444444444444</v>
      </c>
      <c r="L82" s="28" t="s">
        <v>532</v>
      </c>
      <c r="M82" s="30">
        <v>0.28749999999999998</v>
      </c>
      <c r="N82" s="37">
        <v>0.43611111111111112</v>
      </c>
      <c r="O82" s="30">
        <v>0.16527777777777777</v>
      </c>
      <c r="P82" s="38">
        <v>72.3</v>
      </c>
      <c r="Q82" s="35">
        <v>0.18263888888888888</v>
      </c>
      <c r="W82" s="29" t="s">
        <v>106</v>
      </c>
    </row>
    <row r="83" spans="2:31">
      <c r="B83" s="43" t="s">
        <v>266</v>
      </c>
      <c r="C83" s="45"/>
      <c r="D83" s="35">
        <v>0.27708333333333335</v>
      </c>
      <c r="E83" s="35">
        <v>0.27708333333333335</v>
      </c>
      <c r="F83" s="35">
        <v>0.44513888888888886</v>
      </c>
      <c r="G83" s="35">
        <v>0.44513888888888886</v>
      </c>
      <c r="H83" s="29" t="s">
        <v>59</v>
      </c>
      <c r="I83" s="37">
        <v>0.28749999999999998</v>
      </c>
      <c r="J83" s="29" t="s">
        <v>37</v>
      </c>
      <c r="K83" s="37">
        <v>0.43819444444444444</v>
      </c>
      <c r="L83" s="28" t="s">
        <v>532</v>
      </c>
      <c r="M83" s="30">
        <v>0.28749999999999998</v>
      </c>
      <c r="N83" s="37">
        <v>0.43611111111111112</v>
      </c>
      <c r="O83" s="30">
        <v>0.12847222222222221</v>
      </c>
      <c r="P83" s="38">
        <v>48.2</v>
      </c>
      <c r="Q83" s="35">
        <v>0.14583333333333334</v>
      </c>
      <c r="R83" s="38">
        <f ca="1">IF($A$4="平日",101.8,101.3)</f>
        <v>101.3</v>
      </c>
      <c r="W83" s="29" t="s">
        <v>106</v>
      </c>
    </row>
    <row r="84" spans="2:31">
      <c r="B84" s="43" t="s">
        <v>558</v>
      </c>
      <c r="C84" s="44"/>
      <c r="D84" s="35">
        <v>0.29652777777777778</v>
      </c>
      <c r="E84" s="35">
        <v>0.29652777777777778</v>
      </c>
      <c r="F84" s="35">
        <v>0.44097222222222221</v>
      </c>
      <c r="G84" s="35">
        <v>0.44097222222222221</v>
      </c>
      <c r="H84" s="29" t="s">
        <v>37</v>
      </c>
      <c r="I84" s="37">
        <v>0.30694444444444446</v>
      </c>
      <c r="J84" s="29" t="s">
        <v>37</v>
      </c>
      <c r="K84" s="37">
        <v>0.43402777777777779</v>
      </c>
      <c r="L84" s="28" t="s">
        <v>267</v>
      </c>
      <c r="M84" s="30">
        <v>0.31597222222222221</v>
      </c>
      <c r="N84" s="37">
        <v>0.42708333333333331</v>
      </c>
      <c r="O84" s="30">
        <v>0.12222222222222222</v>
      </c>
      <c r="P84" s="38">
        <v>36.6</v>
      </c>
      <c r="Q84" s="35">
        <v>0.12708333333333333</v>
      </c>
      <c r="W84" s="29" t="s">
        <v>106</v>
      </c>
    </row>
    <row r="85" spans="2:31">
      <c r="B85" s="43" t="s">
        <v>268</v>
      </c>
      <c r="C85" s="44"/>
      <c r="D85" s="35">
        <v>0.4826388888888889</v>
      </c>
      <c r="E85" s="35">
        <v>0.4826388888888889</v>
      </c>
      <c r="F85" s="35">
        <v>0.61458333333333337</v>
      </c>
      <c r="G85" s="35">
        <v>0.61458333333333337</v>
      </c>
      <c r="H85" s="29" t="s">
        <v>37</v>
      </c>
      <c r="I85" s="37">
        <v>0.48958333333333331</v>
      </c>
      <c r="J85" s="29" t="s">
        <v>37</v>
      </c>
      <c r="K85" s="37">
        <v>0.60763888888888895</v>
      </c>
      <c r="L85" s="28" t="s">
        <v>269</v>
      </c>
      <c r="M85" s="30">
        <v>0.5</v>
      </c>
      <c r="N85" s="37">
        <v>0.60069444444444442</v>
      </c>
      <c r="O85" s="30">
        <v>0.11527777777777778</v>
      </c>
      <c r="P85" s="38">
        <v>36.4</v>
      </c>
      <c r="Q85" s="35">
        <v>0.11805555555555555</v>
      </c>
      <c r="W85" s="29" t="s">
        <v>106</v>
      </c>
    </row>
    <row r="86" spans="2:31">
      <c r="B86" s="43" t="s">
        <v>270</v>
      </c>
      <c r="C86" s="44"/>
      <c r="D86" s="35">
        <v>0.64583333333333337</v>
      </c>
      <c r="E86" s="35">
        <v>0.64583333333333337</v>
      </c>
      <c r="F86" s="35">
        <v>0.78472222222222221</v>
      </c>
      <c r="G86" s="35">
        <v>0.78472222222222221</v>
      </c>
      <c r="H86" s="29" t="s">
        <v>37</v>
      </c>
      <c r="I86" s="37">
        <v>0.65277777777777779</v>
      </c>
      <c r="J86" s="29" t="s">
        <v>37</v>
      </c>
      <c r="K86" s="37">
        <v>0.77777777777777779</v>
      </c>
      <c r="L86" s="28" t="s">
        <v>271</v>
      </c>
      <c r="M86" s="30">
        <v>0.66319444444444442</v>
      </c>
      <c r="N86" s="37">
        <v>0.77083333333333337</v>
      </c>
      <c r="O86" s="30">
        <v>0.11527777777777778</v>
      </c>
      <c r="P86" s="38">
        <v>36.6</v>
      </c>
      <c r="Q86" s="35">
        <v>0.125</v>
      </c>
      <c r="W86" s="29" t="s">
        <v>106</v>
      </c>
    </row>
    <row r="87" spans="2:31">
      <c r="B87" s="43" t="s">
        <v>272</v>
      </c>
      <c r="C87" s="44"/>
      <c r="D87" s="35">
        <v>0.80902777777777779</v>
      </c>
      <c r="E87" s="35">
        <v>0.80902777777777779</v>
      </c>
      <c r="F87" s="35">
        <v>0.8833333333333333</v>
      </c>
      <c r="G87" s="35">
        <v>0.8833333333333333</v>
      </c>
      <c r="H87" s="29" t="s">
        <v>37</v>
      </c>
      <c r="I87" s="37">
        <v>0.81597222222222221</v>
      </c>
      <c r="J87" s="29" t="s">
        <v>37</v>
      </c>
      <c r="K87" s="37">
        <v>0.87638888888888899</v>
      </c>
      <c r="L87" s="28" t="s">
        <v>269</v>
      </c>
      <c r="M87" s="30">
        <v>0.82638888888888884</v>
      </c>
      <c r="N87" s="37">
        <v>0.86944444444444446</v>
      </c>
      <c r="O87" s="30">
        <v>5.9027777777777776E-2</v>
      </c>
      <c r="P87" s="38">
        <v>21.5</v>
      </c>
      <c r="Q87" s="35">
        <v>6.0416666666666667E-2</v>
      </c>
      <c r="W87" s="29" t="s">
        <v>106</v>
      </c>
    </row>
    <row r="88" spans="2:31">
      <c r="B88" s="43" t="s">
        <v>559</v>
      </c>
      <c r="C88" s="44"/>
      <c r="D88" s="35">
        <v>0.32500000000000001</v>
      </c>
      <c r="E88" s="35">
        <v>0.32500000000000001</v>
      </c>
      <c r="F88" s="35">
        <v>0.41736111111111113</v>
      </c>
      <c r="G88" s="35">
        <v>0.41736111111111113</v>
      </c>
      <c r="H88" s="29" t="s">
        <v>37</v>
      </c>
      <c r="I88" s="37">
        <v>0.33541666666666664</v>
      </c>
      <c r="J88" s="29" t="s">
        <v>37</v>
      </c>
      <c r="K88" s="37">
        <v>0.41041666666666665</v>
      </c>
      <c r="L88" s="28" t="s">
        <v>538</v>
      </c>
      <c r="M88" s="30">
        <v>0.34444444444444444</v>
      </c>
      <c r="N88" s="37">
        <v>0.40833333333333333</v>
      </c>
      <c r="O88" s="30">
        <v>7.4999999999999997E-2</v>
      </c>
      <c r="P88" s="38">
        <v>23.5</v>
      </c>
      <c r="Q88" s="35">
        <v>7.4999999999999997E-2</v>
      </c>
      <c r="W88" s="29" t="s">
        <v>106</v>
      </c>
    </row>
    <row r="89" spans="2:31">
      <c r="B89" s="43" t="s">
        <v>560</v>
      </c>
      <c r="C89" s="25"/>
      <c r="D89" s="35">
        <v>0.4548611111111111</v>
      </c>
      <c r="E89" s="35">
        <v>0.4548611111111111</v>
      </c>
      <c r="F89" s="35">
        <v>0.52847222222222223</v>
      </c>
      <c r="G89" s="35">
        <v>0.52847222222222223</v>
      </c>
      <c r="H89" s="29" t="s">
        <v>37</v>
      </c>
      <c r="I89" s="37">
        <v>0.46180555555555558</v>
      </c>
      <c r="J89" s="29" t="s">
        <v>37</v>
      </c>
      <c r="K89" s="30">
        <v>0.52152777777777781</v>
      </c>
      <c r="L89" s="27">
        <v>1060</v>
      </c>
      <c r="M89" s="30">
        <v>0.46597222222222223</v>
      </c>
      <c r="N89" s="37">
        <v>0.51944444444444449</v>
      </c>
      <c r="O89" s="30">
        <v>5.9722222222222225E-2</v>
      </c>
      <c r="P89" s="38">
        <v>18.600000000000001</v>
      </c>
      <c r="Q89" s="35">
        <v>5.9722222222222225E-2</v>
      </c>
      <c r="W89" s="29" t="s">
        <v>106</v>
      </c>
    </row>
    <row r="90" spans="2:31" ht="14.25" thickBot="1">
      <c r="B90" s="43" t="s">
        <v>561</v>
      </c>
      <c r="C90" s="25"/>
      <c r="D90" s="35">
        <v>0.59375</v>
      </c>
      <c r="E90" s="35">
        <v>0.59375</v>
      </c>
      <c r="F90" s="35">
        <v>0.66736111111111107</v>
      </c>
      <c r="G90" s="35">
        <v>0.66736111111111107</v>
      </c>
      <c r="H90" s="29" t="s">
        <v>37</v>
      </c>
      <c r="I90" s="37">
        <v>0.60069444444444442</v>
      </c>
      <c r="J90" s="29" t="s">
        <v>37</v>
      </c>
      <c r="K90" s="30">
        <v>0.66041666666666665</v>
      </c>
      <c r="L90" s="27" t="s">
        <v>166</v>
      </c>
      <c r="M90" s="30">
        <v>0.60486111111111107</v>
      </c>
      <c r="N90" s="37">
        <v>0.65833333333333333</v>
      </c>
      <c r="O90" s="30">
        <v>5.9722222222222225E-2</v>
      </c>
      <c r="P90" s="38">
        <v>18.600000000000001</v>
      </c>
      <c r="Q90" s="35">
        <v>5.9722222222222225E-2</v>
      </c>
      <c r="W90" s="29" t="s">
        <v>106</v>
      </c>
      <c r="AD90" s="109"/>
      <c r="AE90" s="109"/>
    </row>
    <row r="91" spans="2:31">
      <c r="B91" s="43" t="s">
        <v>562</v>
      </c>
      <c r="C91" s="25"/>
      <c r="D91" s="35">
        <v>0.67708333333333337</v>
      </c>
      <c r="E91" s="35">
        <v>0.67708333333333337</v>
      </c>
      <c r="F91" s="35">
        <v>0.7993055555555556</v>
      </c>
      <c r="G91" s="35">
        <v>0.7993055555555556</v>
      </c>
      <c r="H91" s="29" t="s">
        <v>37</v>
      </c>
      <c r="I91" s="37">
        <v>0.68402777777777779</v>
      </c>
      <c r="J91" s="29" t="s">
        <v>37</v>
      </c>
      <c r="K91" s="30">
        <v>0.79236111111111107</v>
      </c>
      <c r="L91" s="27">
        <v>1050</v>
      </c>
      <c r="M91" s="30">
        <v>0.68819444444444444</v>
      </c>
      <c r="N91" s="37">
        <v>0.78541666666666665</v>
      </c>
      <c r="O91" s="30">
        <v>0.10833333333333334</v>
      </c>
      <c r="P91" s="38">
        <v>34.5</v>
      </c>
      <c r="Q91" s="35">
        <v>0.10833333333333334</v>
      </c>
      <c r="W91" s="29" t="s">
        <v>106</v>
      </c>
    </row>
    <row r="92" spans="2:31">
      <c r="B92" s="43" t="s">
        <v>273</v>
      </c>
      <c r="C92" s="45"/>
      <c r="D92" s="30" t="str">
        <f ca="1">IF($A$4="平日","7:07","7:48")</f>
        <v>7:48</v>
      </c>
      <c r="E92" s="30" t="str">
        <f ca="1">IF($A$4="平日","7:07","7:48")</f>
        <v>7:48</v>
      </c>
      <c r="F92" s="30" t="str">
        <f ca="1">IF($A$4="平日","21:12","19:11")</f>
        <v>19:11</v>
      </c>
      <c r="G92" s="30" t="str">
        <f ca="1">IF($A$4="平日","21:12","19:11")</f>
        <v>19:11</v>
      </c>
      <c r="H92" s="29" t="s">
        <v>37</v>
      </c>
      <c r="I92" s="30" t="str">
        <f ca="1">IF($A$4="平日","7:22","8:03")</f>
        <v>8:03</v>
      </c>
      <c r="J92" s="29" t="s">
        <v>37</v>
      </c>
      <c r="K92" s="30" t="str">
        <f ca="1">IF($A$4="平日","21:02","19:01")</f>
        <v>19:01</v>
      </c>
      <c r="L92" s="29" t="str">
        <f ca="1">IF($A$4="平日","1038    509    510","1060")</f>
        <v>1060</v>
      </c>
      <c r="M92" s="30" t="str">
        <f ca="1">IF($A$4="平日","7:35","8:16")</f>
        <v>8:16</v>
      </c>
      <c r="N92" s="30" t="str">
        <f ca="1">IF($A$4="平日","20:52","18:51")</f>
        <v>18:51</v>
      </c>
      <c r="O92" s="30" t="str">
        <f ca="1">IF($A$4="平日","8:58","7:16")</f>
        <v>7:16</v>
      </c>
      <c r="P92" s="39">
        <f ca="1">IF($A$4="平日",111.3,95.2)</f>
        <v>95.2</v>
      </c>
      <c r="Q92" s="30" t="str">
        <f ca="1">IF($A$4="平日","9:45","7:41")</f>
        <v>7:41</v>
      </c>
      <c r="W92" s="29" t="s">
        <v>106</v>
      </c>
    </row>
    <row r="93" spans="2:31">
      <c r="B93" s="43" t="s">
        <v>274</v>
      </c>
      <c r="C93" s="45"/>
      <c r="D93" s="30">
        <v>0.3125</v>
      </c>
      <c r="E93" s="35">
        <v>0.3125</v>
      </c>
      <c r="F93" s="35">
        <v>0.74027777777777781</v>
      </c>
      <c r="G93" s="35">
        <v>0.74027777777777781</v>
      </c>
      <c r="H93" s="29" t="s">
        <v>37</v>
      </c>
      <c r="I93" s="37">
        <v>0.32291666666666669</v>
      </c>
      <c r="J93" s="29" t="s">
        <v>37</v>
      </c>
      <c r="K93" s="37">
        <v>0.73333333333333328</v>
      </c>
      <c r="L93" s="28" t="s">
        <v>150</v>
      </c>
      <c r="M93" s="30">
        <v>0.33194444444444443</v>
      </c>
      <c r="N93" s="37">
        <v>0.74027777777777781</v>
      </c>
      <c r="O93" s="30">
        <v>0.14861111111111111</v>
      </c>
      <c r="P93" s="38">
        <v>51.2</v>
      </c>
      <c r="Q93" s="35">
        <v>0.17083333333333334</v>
      </c>
      <c r="W93" s="29" t="s">
        <v>106</v>
      </c>
    </row>
    <row r="94" spans="2:31">
      <c r="B94" s="43" t="s">
        <v>563</v>
      </c>
      <c r="C94" s="44"/>
      <c r="D94" s="35">
        <v>0.28958333333333336</v>
      </c>
      <c r="E94" s="35">
        <v>0.28958333333333336</v>
      </c>
      <c r="F94" s="35">
        <v>0.43402777777777773</v>
      </c>
      <c r="G94" s="35">
        <v>0.43402777777777773</v>
      </c>
      <c r="H94" s="29" t="s">
        <v>37</v>
      </c>
      <c r="I94" s="37">
        <v>0.3</v>
      </c>
      <c r="J94" s="29" t="s">
        <v>37</v>
      </c>
      <c r="K94" s="37">
        <v>0.42708333333333331</v>
      </c>
      <c r="L94" s="28" t="s">
        <v>485</v>
      </c>
      <c r="M94" s="30">
        <v>0.30902777777777779</v>
      </c>
      <c r="N94" s="37">
        <v>0.4201388888888889</v>
      </c>
      <c r="O94" s="30">
        <v>0.12222222222222222</v>
      </c>
      <c r="P94" s="38">
        <v>36.4</v>
      </c>
      <c r="Q94" s="35">
        <v>0.12708333333333333</v>
      </c>
      <c r="W94" s="29" t="s">
        <v>106</v>
      </c>
    </row>
    <row r="95" spans="2:31">
      <c r="B95" s="43" t="s">
        <v>275</v>
      </c>
      <c r="C95" s="44"/>
      <c r="D95" s="35">
        <v>0.45833333333333331</v>
      </c>
      <c r="E95" s="35">
        <v>0.45833333333333331</v>
      </c>
      <c r="F95" s="35">
        <v>0.59027777777777779</v>
      </c>
      <c r="G95" s="35">
        <v>0.59027777777777779</v>
      </c>
      <c r="H95" s="29" t="s">
        <v>37</v>
      </c>
      <c r="I95" s="37">
        <v>0.46527777777777773</v>
      </c>
      <c r="J95" s="29" t="s">
        <v>37</v>
      </c>
      <c r="K95" s="37">
        <v>0.58333333333333337</v>
      </c>
      <c r="L95" s="28" t="s">
        <v>485</v>
      </c>
      <c r="M95" s="30">
        <v>0.47569444444444442</v>
      </c>
      <c r="N95" s="37">
        <v>0.57638888888888895</v>
      </c>
      <c r="O95" s="30">
        <v>0.11527777777777778</v>
      </c>
      <c r="P95" s="38">
        <v>36.4</v>
      </c>
      <c r="Q95" s="35">
        <v>0.11805555555555555</v>
      </c>
      <c r="W95" s="29" t="s">
        <v>106</v>
      </c>
    </row>
    <row r="96" spans="2:31">
      <c r="B96" s="43" t="s">
        <v>276</v>
      </c>
      <c r="C96" s="44"/>
      <c r="D96" s="35">
        <v>0.61458333333333337</v>
      </c>
      <c r="E96" s="35">
        <v>0.61458333333333337</v>
      </c>
      <c r="F96" s="35">
        <v>0.69444444444444453</v>
      </c>
      <c r="G96" s="35">
        <v>0.69444444444444453</v>
      </c>
      <c r="H96" s="29" t="s">
        <v>37</v>
      </c>
      <c r="I96" s="37">
        <v>0.62152777777777779</v>
      </c>
      <c r="J96" s="29" t="s">
        <v>37</v>
      </c>
      <c r="K96" s="37">
        <v>0.6875</v>
      </c>
      <c r="L96" s="28" t="s">
        <v>485</v>
      </c>
      <c r="M96" s="30">
        <v>0.63194444444444442</v>
      </c>
      <c r="N96" s="37">
        <v>0.68055555555555547</v>
      </c>
      <c r="O96" s="30">
        <v>6.458333333333334E-2</v>
      </c>
      <c r="P96" s="38">
        <v>21.5</v>
      </c>
      <c r="Q96" s="35">
        <v>6.5972222222222224E-2</v>
      </c>
      <c r="W96" s="29" t="s">
        <v>106</v>
      </c>
    </row>
    <row r="97" spans="2:24">
      <c r="B97" s="43" t="s">
        <v>277</v>
      </c>
      <c r="C97" s="44"/>
      <c r="D97" s="35">
        <v>0.72222222222222221</v>
      </c>
      <c r="E97" s="35">
        <v>0.72222222222222221</v>
      </c>
      <c r="F97" s="35">
        <v>0.86458333333333337</v>
      </c>
      <c r="G97" s="35">
        <v>0.86458333333333337</v>
      </c>
      <c r="H97" s="29" t="s">
        <v>37</v>
      </c>
      <c r="I97" s="37">
        <v>0.72916666666666663</v>
      </c>
      <c r="J97" s="29" t="s">
        <v>37</v>
      </c>
      <c r="K97" s="37">
        <v>0.85763888888888884</v>
      </c>
      <c r="L97" s="28" t="s">
        <v>485</v>
      </c>
      <c r="M97" s="30">
        <v>0.73958333333333337</v>
      </c>
      <c r="N97" s="37">
        <v>0.85069444444444453</v>
      </c>
      <c r="O97" s="30">
        <v>0.12222222222222222</v>
      </c>
      <c r="P97" s="38">
        <v>36.4</v>
      </c>
      <c r="Q97" s="35">
        <v>0.13194444444444445</v>
      </c>
      <c r="W97" s="29" t="s">
        <v>106</v>
      </c>
    </row>
    <row r="98" spans="2:24">
      <c r="B98" s="43" t="s">
        <v>564</v>
      </c>
      <c r="C98" s="44"/>
      <c r="D98" s="35">
        <v>0.28263888888888888</v>
      </c>
      <c r="E98" s="35">
        <v>0.28263888888888888</v>
      </c>
      <c r="F98" s="35">
        <v>0.46388888888888891</v>
      </c>
      <c r="G98" s="35">
        <v>0.46388888888888891</v>
      </c>
      <c r="H98" s="29" t="s">
        <v>37</v>
      </c>
      <c r="I98" s="37">
        <v>0.29305555555555557</v>
      </c>
      <c r="J98" s="29" t="s">
        <v>37</v>
      </c>
      <c r="K98" s="37">
        <v>0.45694444444444443</v>
      </c>
      <c r="L98" s="28" t="s">
        <v>189</v>
      </c>
      <c r="M98" s="30">
        <v>0.30902777777777779</v>
      </c>
      <c r="N98" s="37">
        <v>0.40138888888888891</v>
      </c>
      <c r="O98" s="30">
        <v>0.11458333333333333</v>
      </c>
      <c r="P98" s="38">
        <v>42.4</v>
      </c>
      <c r="Q98" s="35">
        <v>0.11458333333333333</v>
      </c>
      <c r="W98" s="29" t="s">
        <v>106</v>
      </c>
    </row>
    <row r="99" spans="2:24">
      <c r="B99" s="43" t="s">
        <v>565</v>
      </c>
      <c r="C99" s="44"/>
      <c r="D99" s="35">
        <v>0.39652777777777776</v>
      </c>
      <c r="E99" s="35">
        <v>0.39652777777777776</v>
      </c>
      <c r="F99" s="35">
        <v>0.54722222222222228</v>
      </c>
      <c r="G99" s="35">
        <v>0.54722222222222228</v>
      </c>
      <c r="H99" s="29" t="s">
        <v>37</v>
      </c>
      <c r="I99" s="37">
        <v>0.40347222222222223</v>
      </c>
      <c r="J99" s="29" t="s">
        <v>37</v>
      </c>
      <c r="K99" s="37">
        <v>0.54027777777777775</v>
      </c>
      <c r="L99" s="28" t="s">
        <v>566</v>
      </c>
      <c r="M99" s="30">
        <v>0.41944444444444445</v>
      </c>
      <c r="N99" s="37">
        <v>0.52638888888888891</v>
      </c>
      <c r="O99" s="30">
        <v>8.1250000000000003E-2</v>
      </c>
      <c r="P99" s="38">
        <v>33</v>
      </c>
      <c r="Q99" s="35">
        <v>8.1250000000000003E-2</v>
      </c>
      <c r="W99" s="29" t="s">
        <v>106</v>
      </c>
    </row>
    <row r="100" spans="2:24">
      <c r="B100" s="43" t="s">
        <v>567</v>
      </c>
      <c r="C100" s="44"/>
      <c r="D100" s="35">
        <v>0.56319444444444444</v>
      </c>
      <c r="E100" s="35">
        <v>0.56319444444444444</v>
      </c>
      <c r="F100" s="35">
        <v>0.63055555555555554</v>
      </c>
      <c r="G100" s="35">
        <v>0.63055555555555554</v>
      </c>
      <c r="H100" s="29" t="s">
        <v>37</v>
      </c>
      <c r="I100" s="37">
        <v>0.57013888888888886</v>
      </c>
      <c r="J100" s="29" t="s">
        <v>37</v>
      </c>
      <c r="K100" s="37">
        <v>0.63749999999999996</v>
      </c>
      <c r="L100" s="28" t="s">
        <v>568</v>
      </c>
      <c r="M100" s="30">
        <v>0.58611111111111114</v>
      </c>
      <c r="N100" s="37">
        <v>0.62361111111111112</v>
      </c>
      <c r="O100" s="30">
        <v>5.5555555555555552E-2</v>
      </c>
      <c r="P100" s="38">
        <v>22.5</v>
      </c>
      <c r="Q100" s="35">
        <v>5.5555555555555552E-2</v>
      </c>
      <c r="W100" s="29" t="s">
        <v>106</v>
      </c>
    </row>
    <row r="101" spans="2:24">
      <c r="B101" s="43" t="s">
        <v>278</v>
      </c>
      <c r="C101" s="45"/>
      <c r="D101" s="30" t="str">
        <f ca="1">IF($A$4="平日","6:57","6:47")</f>
        <v>6:47</v>
      </c>
      <c r="E101" s="30" t="str">
        <f ca="1">IF($A$4="平日","6:57","6:47")</f>
        <v>6:47</v>
      </c>
      <c r="F101" s="30" t="str">
        <f ca="1">IF($A$4="平日","20:45","15:08")</f>
        <v>15:08</v>
      </c>
      <c r="G101" s="30" t="str">
        <f ca="1">IF($A$4="平日","20:45","15:08")</f>
        <v>15:08</v>
      </c>
      <c r="H101" s="29" t="s">
        <v>37</v>
      </c>
      <c r="I101" s="30" t="str">
        <f ca="1">IF($A$4="平日","7:12","7:02")</f>
        <v>7:02</v>
      </c>
      <c r="J101" s="29" t="s">
        <v>37</v>
      </c>
      <c r="K101" s="30" t="str">
        <f ca="1">IF($A$4="平日","20:35","14:58")</f>
        <v>14:58</v>
      </c>
      <c r="L101" s="29" t="str">
        <f ca="1">IF($A$4="平日","1037","507    508")</f>
        <v>507    508</v>
      </c>
      <c r="M101" s="30" t="str">
        <f ca="1">IF($A$4="平日","7:25","7:35")</f>
        <v>7:35</v>
      </c>
      <c r="N101" s="30" t="str">
        <f ca="1">IF($A$4="平日","20:25","14:38")</f>
        <v>14:38</v>
      </c>
      <c r="O101" s="30" t="str">
        <f ca="1">IF($A$4="平日","9:11","4:36")</f>
        <v>4:36</v>
      </c>
      <c r="P101" s="39">
        <f ca="1">IF($A$4="平日",110.9,73.9)</f>
        <v>73.900000000000006</v>
      </c>
      <c r="Q101" s="30" t="str">
        <f ca="1">IF($A$4="平日","10:03","5:12")</f>
        <v>5:12</v>
      </c>
      <c r="W101" s="29" t="s">
        <v>106</v>
      </c>
    </row>
    <row r="102" spans="2:24">
      <c r="K102" s="36"/>
      <c r="R102" s="43"/>
      <c r="W102" s="29"/>
    </row>
    <row r="103" spans="2:24">
      <c r="B103" s="43" t="s">
        <v>279</v>
      </c>
      <c r="C103" s="45"/>
      <c r="D103" s="30" t="str">
        <f ca="1">IF($A$4="平日","6:07","9:22")</f>
        <v>9:22</v>
      </c>
      <c r="E103" s="30" t="str">
        <f ca="1">IF($A$4="平日","6:07","9:22")</f>
        <v>9:22</v>
      </c>
      <c r="F103" s="30" t="str">
        <f ca="1">IF($A$4="平日","18:49","18:49")</f>
        <v>18:49</v>
      </c>
      <c r="G103" s="30" t="str">
        <f ca="1">IF($A$4="平日","18:49","18:49")</f>
        <v>18:49</v>
      </c>
      <c r="H103" s="29" t="s">
        <v>37</v>
      </c>
      <c r="I103" s="30" t="str">
        <f ca="1">IF($A$4="平日","6:22","9:37")</f>
        <v>9:37</v>
      </c>
      <c r="J103" s="29" t="s">
        <v>37</v>
      </c>
      <c r="K103" s="37" t="str">
        <f ca="1">IF($A$4="平日","18:39","18:39")</f>
        <v>18:39</v>
      </c>
      <c r="L103" s="29" t="str">
        <f ca="1">IF($A$4="平日","507","462")</f>
        <v>462</v>
      </c>
      <c r="M103" s="30" t="str">
        <f ca="1">IF($A$4="平日","6:55","10:00")</f>
        <v>10:00</v>
      </c>
      <c r="N103" s="30" t="str">
        <f ca="1">IF($A$4="平日","19:45","18:19")</f>
        <v>18:19</v>
      </c>
      <c r="O103" s="30" t="str">
        <f ca="1">IF($A$4="平日","7:48","5:42")</f>
        <v>5:42</v>
      </c>
      <c r="P103" s="39">
        <f ca="1">IF($A$4="平日",163.6,133.2)</f>
        <v>133.19999999999999</v>
      </c>
      <c r="Q103" s="30" t="str">
        <f ca="1">IF($A$4="平日","8:43","6:37")</f>
        <v>6:37</v>
      </c>
      <c r="W103" s="29" t="s">
        <v>106</v>
      </c>
      <c r="X103"/>
    </row>
    <row r="104" spans="2:24">
      <c r="B104" s="43" t="s">
        <v>280</v>
      </c>
      <c r="C104" s="44"/>
      <c r="D104" s="35">
        <v>0.28263888888888888</v>
      </c>
      <c r="E104" s="35">
        <v>0.28263888888888888</v>
      </c>
      <c r="F104" s="35">
        <v>0.42708333333333331</v>
      </c>
      <c r="G104" s="35">
        <v>0.42708333333333331</v>
      </c>
      <c r="H104" s="29" t="s">
        <v>37</v>
      </c>
      <c r="I104" s="37">
        <v>0.29305555555555557</v>
      </c>
      <c r="J104" s="29" t="s">
        <v>37</v>
      </c>
      <c r="K104" s="37">
        <v>0.4201388888888889</v>
      </c>
      <c r="L104" s="28" t="s">
        <v>281</v>
      </c>
      <c r="M104" s="30">
        <v>0.30208333333333331</v>
      </c>
      <c r="N104" s="37">
        <v>0.41319444444444442</v>
      </c>
      <c r="O104" s="30">
        <v>0.12222222222222223</v>
      </c>
      <c r="P104" s="38">
        <v>36.6</v>
      </c>
      <c r="Q104" s="35">
        <v>0.12708333333333333</v>
      </c>
      <c r="W104" s="29" t="s">
        <v>106</v>
      </c>
      <c r="X104"/>
    </row>
    <row r="105" spans="2:24">
      <c r="B105" s="43" t="s">
        <v>569</v>
      </c>
      <c r="C105" s="44"/>
      <c r="D105" s="35">
        <v>0.45555555555555555</v>
      </c>
      <c r="E105" s="35">
        <v>0.45555555555555555</v>
      </c>
      <c r="F105" s="35">
        <v>0.54513888888888895</v>
      </c>
      <c r="G105" s="35">
        <v>0.54513888888888895</v>
      </c>
      <c r="H105" s="29" t="s">
        <v>37</v>
      </c>
      <c r="I105" s="37">
        <v>0.46597222222222223</v>
      </c>
      <c r="J105" s="29" t="s">
        <v>37</v>
      </c>
      <c r="K105" s="37">
        <v>0.53819444444444442</v>
      </c>
      <c r="L105" s="28" t="s">
        <v>267</v>
      </c>
      <c r="M105" s="30">
        <v>0.4826388888888889</v>
      </c>
      <c r="N105" s="37">
        <v>0.53125</v>
      </c>
      <c r="O105" s="30">
        <v>6.458333333333334E-2</v>
      </c>
      <c r="P105" s="38">
        <v>21.6</v>
      </c>
      <c r="Q105" s="35">
        <v>6.5972222222222224E-2</v>
      </c>
      <c r="W105" s="29" t="s">
        <v>106</v>
      </c>
      <c r="X105"/>
    </row>
    <row r="106" spans="2:24">
      <c r="B106" s="43" t="s">
        <v>282</v>
      </c>
      <c r="C106" s="44"/>
      <c r="D106" s="35">
        <v>0.58680555555555558</v>
      </c>
      <c r="E106" s="35">
        <v>0.58680555555555558</v>
      </c>
      <c r="F106" s="35">
        <v>0.66666666666666663</v>
      </c>
      <c r="G106" s="35">
        <v>0.66666666666666663</v>
      </c>
      <c r="H106" s="29" t="s">
        <v>37</v>
      </c>
      <c r="I106" s="37">
        <v>0.59375</v>
      </c>
      <c r="J106" s="29" t="s">
        <v>37</v>
      </c>
      <c r="K106" s="37">
        <v>0.65972222222222221</v>
      </c>
      <c r="L106" s="28" t="s">
        <v>269</v>
      </c>
      <c r="M106" s="30">
        <v>0.60416666666666663</v>
      </c>
      <c r="N106" s="37">
        <v>0.65277777777777779</v>
      </c>
      <c r="O106" s="30">
        <v>6.458333333333334E-2</v>
      </c>
      <c r="P106" s="38">
        <v>21.5</v>
      </c>
      <c r="Q106" s="35">
        <v>6.5972222222222224E-2</v>
      </c>
      <c r="W106" s="29" t="s">
        <v>106</v>
      </c>
      <c r="X106"/>
    </row>
    <row r="107" spans="2:24">
      <c r="B107" s="43" t="s">
        <v>283</v>
      </c>
      <c r="C107" s="44"/>
      <c r="D107" s="35">
        <v>0.69444444444444442</v>
      </c>
      <c r="E107" s="35">
        <v>0.69444444444444442</v>
      </c>
      <c r="F107" s="35">
        <v>0.8354166666666667</v>
      </c>
      <c r="G107" s="35">
        <v>0.8354166666666667</v>
      </c>
      <c r="H107" s="29" t="s">
        <v>37</v>
      </c>
      <c r="I107" s="37">
        <v>0.70138888888888884</v>
      </c>
      <c r="J107" s="29" t="s">
        <v>37</v>
      </c>
      <c r="K107" s="37">
        <v>0.82847222222222217</v>
      </c>
      <c r="L107" s="28" t="s">
        <v>269</v>
      </c>
      <c r="M107" s="30">
        <v>0.71180555555555547</v>
      </c>
      <c r="N107" s="37">
        <v>0.82291666666666663</v>
      </c>
      <c r="O107" s="30">
        <v>0.12222222222222222</v>
      </c>
      <c r="P107" s="38">
        <v>36.4</v>
      </c>
      <c r="Q107" s="35">
        <v>0.12847222222222221</v>
      </c>
      <c r="W107" s="29" t="s">
        <v>106</v>
      </c>
      <c r="X107" s="29"/>
    </row>
    <row r="108" spans="2:24">
      <c r="B108" s="43" t="s">
        <v>570</v>
      </c>
      <c r="C108" s="44"/>
      <c r="D108" s="35">
        <v>0.45555555555555555</v>
      </c>
      <c r="E108" s="35">
        <v>0.45555555555555555</v>
      </c>
      <c r="F108" s="35">
        <v>0.54513888888888895</v>
      </c>
      <c r="G108" s="35">
        <v>0.54513888888888895</v>
      </c>
      <c r="H108" s="29" t="s">
        <v>37</v>
      </c>
      <c r="I108" s="37">
        <v>0.46597222222222223</v>
      </c>
      <c r="J108" s="29" t="s">
        <v>37</v>
      </c>
      <c r="K108" s="37">
        <v>0.53819444444444442</v>
      </c>
      <c r="L108" s="28" t="s">
        <v>267</v>
      </c>
      <c r="M108" s="30">
        <v>0.4826388888888889</v>
      </c>
      <c r="N108" s="37">
        <v>0.53125</v>
      </c>
      <c r="O108" s="30">
        <v>5.0694444444444452E-2</v>
      </c>
      <c r="P108" s="38">
        <v>15</v>
      </c>
      <c r="Q108" s="35">
        <v>7.2222222222222215E-2</v>
      </c>
      <c r="W108" s="29" t="s">
        <v>106</v>
      </c>
      <c r="X108"/>
    </row>
    <row r="109" spans="2:24">
      <c r="B109" s="43" t="s">
        <v>571</v>
      </c>
      <c r="C109" s="44"/>
      <c r="D109" s="35">
        <v>0.5625</v>
      </c>
      <c r="E109" s="35">
        <v>0.5625</v>
      </c>
      <c r="F109" s="35">
        <v>0.64236111111111116</v>
      </c>
      <c r="G109" s="35">
        <v>0.64236111111111116</v>
      </c>
      <c r="H109" s="29" t="s">
        <v>37</v>
      </c>
      <c r="I109" s="37">
        <v>0.56944444444444442</v>
      </c>
      <c r="J109" s="29" t="s">
        <v>37</v>
      </c>
      <c r="K109" s="37">
        <v>0.63541666666666663</v>
      </c>
      <c r="L109" s="28" t="s">
        <v>572</v>
      </c>
      <c r="M109" s="30">
        <v>0.57986111111111116</v>
      </c>
      <c r="N109" s="37">
        <v>0.58680555555555558</v>
      </c>
      <c r="O109" s="30">
        <v>5.0694444444444445E-2</v>
      </c>
      <c r="P109" s="38">
        <v>14.9</v>
      </c>
      <c r="Q109" s="35">
        <v>5.2083333333333336E-2</v>
      </c>
      <c r="W109" s="29" t="s">
        <v>106</v>
      </c>
      <c r="X109"/>
    </row>
    <row r="110" spans="2:24">
      <c r="B110" s="43" t="s">
        <v>573</v>
      </c>
      <c r="C110" s="44"/>
      <c r="D110" s="35">
        <v>0.64236111111111116</v>
      </c>
      <c r="E110" s="35">
        <v>0.64236111111111116</v>
      </c>
      <c r="F110" s="35">
        <v>0.71875</v>
      </c>
      <c r="G110" s="35">
        <v>0.71875</v>
      </c>
      <c r="H110" s="29" t="s">
        <v>37</v>
      </c>
      <c r="I110" s="37">
        <v>0.64930555555555558</v>
      </c>
      <c r="J110" s="29" t="s">
        <v>37</v>
      </c>
      <c r="K110" s="37">
        <v>0.71180555555555558</v>
      </c>
      <c r="L110" s="28" t="s">
        <v>269</v>
      </c>
      <c r="M110" s="30">
        <v>0.65625</v>
      </c>
      <c r="N110" s="37">
        <v>0.70486111111111116</v>
      </c>
      <c r="O110" s="30">
        <v>5.0694444444444445E-2</v>
      </c>
      <c r="P110" s="38">
        <v>14.9</v>
      </c>
      <c r="Q110" s="35">
        <v>5.2083333333333336E-2</v>
      </c>
      <c r="W110" s="29" t="s">
        <v>106</v>
      </c>
      <c r="X110"/>
    </row>
    <row r="111" spans="2:24">
      <c r="B111" s="43" t="s">
        <v>574</v>
      </c>
      <c r="C111" s="44"/>
      <c r="D111" s="35">
        <v>0.76041666666666663</v>
      </c>
      <c r="E111" s="35">
        <v>0.76041666666666663</v>
      </c>
      <c r="F111" s="35">
        <v>0.84375</v>
      </c>
      <c r="G111" s="35">
        <v>0.84375</v>
      </c>
      <c r="H111" s="29" t="s">
        <v>37</v>
      </c>
      <c r="I111" s="37">
        <v>0.76736111111111116</v>
      </c>
      <c r="J111" s="29" t="s">
        <v>37</v>
      </c>
      <c r="K111" s="37">
        <v>0.83680555555555558</v>
      </c>
      <c r="L111" s="28" t="s">
        <v>271</v>
      </c>
      <c r="M111" s="30">
        <v>0.77777777777777779</v>
      </c>
      <c r="N111" s="37">
        <v>0.82986111111111116</v>
      </c>
      <c r="O111" s="30">
        <v>6.1111111111111109E-2</v>
      </c>
      <c r="P111" s="38">
        <v>18.3</v>
      </c>
      <c r="Q111" s="35">
        <v>6.25E-2</v>
      </c>
      <c r="W111" s="29" t="s">
        <v>106</v>
      </c>
      <c r="X111"/>
    </row>
    <row r="112" spans="2:24">
      <c r="B112" s="43" t="s">
        <v>284</v>
      </c>
      <c r="C112" s="45"/>
      <c r="D112" s="30" t="str">
        <f ca="1">IF($A$4="平日","6:47","10:56")</f>
        <v>10:56</v>
      </c>
      <c r="E112" s="30" t="str">
        <f ca="1">IF($A$4="平日","6:47","10:56")</f>
        <v>10:56</v>
      </c>
      <c r="F112" s="30" t="str">
        <f ca="1">IF($A$4="平日","20:03","20:15")</f>
        <v>20:15</v>
      </c>
      <c r="G112" s="30" t="str">
        <f ca="1">IF($A$4="平日","20:03","20:15")</f>
        <v>20:15</v>
      </c>
      <c r="H112" s="29" t="s">
        <v>37</v>
      </c>
      <c r="I112" s="30" t="str">
        <f ca="1">IF($A$4="平日","7:02","11:11")</f>
        <v>11:11</v>
      </c>
      <c r="J112" s="29" t="s">
        <v>37</v>
      </c>
      <c r="K112" s="37" t="str">
        <f ca="1">IF($A$4="平日","19:53","20:05")</f>
        <v>20:05</v>
      </c>
      <c r="L112" s="29" t="str">
        <f ca="1">IF($A$4="平日","1028    1038    509","1038     1037     509 510")</f>
        <v>1038     1037     509 510</v>
      </c>
      <c r="M112" s="30" t="str">
        <f ca="1">IF($A$4="平日","7:15","11:35")</f>
        <v>11:35</v>
      </c>
      <c r="N112" s="30" t="str">
        <f ca="1">IF($A$4="平日","19:45","19:55")</f>
        <v>19:55</v>
      </c>
      <c r="O112" s="30" t="str">
        <f ca="1">IF($A$4="平日","7:58","5:42")</f>
        <v>5:42</v>
      </c>
      <c r="P112" s="39">
        <f ca="1">IF($A$4="平日",96.3,63.1)</f>
        <v>63.1</v>
      </c>
      <c r="Q112" s="30" t="str">
        <f ca="1">IF($A$4="平日","9:25","6:04")</f>
        <v>6:04</v>
      </c>
      <c r="W112" s="29" t="s">
        <v>106</v>
      </c>
      <c r="X112"/>
    </row>
    <row r="113" spans="2:24">
      <c r="B113" s="43" t="s">
        <v>575</v>
      </c>
      <c r="C113" s="25"/>
      <c r="D113" s="35">
        <v>0.2673611111111111</v>
      </c>
      <c r="E113" s="35">
        <v>0.2673611111111111</v>
      </c>
      <c r="F113" s="35">
        <v>0.41736111111111113</v>
      </c>
      <c r="G113" s="35">
        <v>0.41736111111111113</v>
      </c>
      <c r="H113" s="29" t="s">
        <v>37</v>
      </c>
      <c r="I113" s="37">
        <v>0.27777777777777779</v>
      </c>
      <c r="J113" s="29" t="s">
        <v>37</v>
      </c>
      <c r="K113" s="30">
        <v>0.41041666666666665</v>
      </c>
      <c r="L113" s="27">
        <v>1060</v>
      </c>
      <c r="M113" s="30">
        <v>0.28680555555555554</v>
      </c>
      <c r="N113" s="37">
        <v>0.40833333333333333</v>
      </c>
      <c r="O113" s="30">
        <v>0.13263888888888889</v>
      </c>
      <c r="P113" s="38">
        <v>39.9</v>
      </c>
      <c r="Q113" s="35">
        <v>0.13263888888888889</v>
      </c>
      <c r="W113" s="29" t="s">
        <v>106</v>
      </c>
      <c r="X113"/>
    </row>
    <row r="114" spans="2:24">
      <c r="B114" s="43" t="s">
        <v>576</v>
      </c>
      <c r="C114" s="25"/>
      <c r="D114" s="35">
        <v>0.4548611111111111</v>
      </c>
      <c r="E114" s="35">
        <v>0.4548611111111111</v>
      </c>
      <c r="F114" s="35">
        <v>0.52847222222222223</v>
      </c>
      <c r="G114" s="35">
        <v>0.52847222222222223</v>
      </c>
      <c r="H114" s="29" t="s">
        <v>37</v>
      </c>
      <c r="I114" s="37">
        <v>0.46180555555555558</v>
      </c>
      <c r="J114" s="29" t="s">
        <v>37</v>
      </c>
      <c r="K114" s="30">
        <v>0.52152777777777781</v>
      </c>
      <c r="L114" s="27" t="s">
        <v>538</v>
      </c>
      <c r="M114" s="30">
        <v>0.46597222222222223</v>
      </c>
      <c r="N114" s="37">
        <v>0.51944444444444449</v>
      </c>
      <c r="O114" s="30">
        <v>5.9722222222222225E-2</v>
      </c>
      <c r="P114" s="38">
        <v>18.600000000000001</v>
      </c>
      <c r="Q114" s="35">
        <v>5.9722222222222225E-2</v>
      </c>
      <c r="W114" s="29" t="s">
        <v>106</v>
      </c>
      <c r="X114"/>
    </row>
    <row r="115" spans="2:24">
      <c r="B115" s="43" t="s">
        <v>577</v>
      </c>
      <c r="C115" s="25"/>
      <c r="D115" s="35">
        <v>0.59375</v>
      </c>
      <c r="E115" s="35">
        <v>0.59375</v>
      </c>
      <c r="F115" s="35">
        <v>0.66736111111111107</v>
      </c>
      <c r="G115" s="35">
        <v>0.66736111111111107</v>
      </c>
      <c r="H115" s="29" t="s">
        <v>37</v>
      </c>
      <c r="I115" s="37">
        <v>0.60069444444444442</v>
      </c>
      <c r="J115" s="29" t="s">
        <v>37</v>
      </c>
      <c r="K115" s="30">
        <v>0.66041666666666665</v>
      </c>
      <c r="L115" s="27" t="s">
        <v>166</v>
      </c>
      <c r="M115" s="30">
        <v>0.60486111111111107</v>
      </c>
      <c r="N115" s="37">
        <v>0.65833333333333333</v>
      </c>
      <c r="O115" s="30">
        <v>5.9722222222222225E-2</v>
      </c>
      <c r="P115" s="38">
        <v>18.600000000000001</v>
      </c>
      <c r="Q115" s="35">
        <v>5.9722222222222225E-2</v>
      </c>
      <c r="W115" s="29" t="s">
        <v>106</v>
      </c>
      <c r="X115"/>
    </row>
    <row r="116" spans="2:24">
      <c r="B116" s="43" t="s">
        <v>578</v>
      </c>
      <c r="C116" s="25"/>
      <c r="D116" s="35">
        <v>0.67708333333333337</v>
      </c>
      <c r="E116" s="35">
        <v>0.67708333333333337</v>
      </c>
      <c r="F116" s="35">
        <v>0.7993055555555556</v>
      </c>
      <c r="G116" s="35">
        <v>0.7993055555555556</v>
      </c>
      <c r="H116" s="29" t="s">
        <v>37</v>
      </c>
      <c r="I116" s="37">
        <v>0.68402777777777779</v>
      </c>
      <c r="J116" s="29" t="s">
        <v>37</v>
      </c>
      <c r="K116" s="30">
        <v>0.79236111111111107</v>
      </c>
      <c r="L116" s="27">
        <v>1050</v>
      </c>
      <c r="M116" s="30">
        <v>0.68819444444444444</v>
      </c>
      <c r="N116" s="37">
        <v>0.78541666666666665</v>
      </c>
      <c r="O116" s="30">
        <v>0.10833333333333334</v>
      </c>
      <c r="P116" s="38">
        <v>34.5</v>
      </c>
      <c r="Q116" s="35">
        <v>0.10833333333333334</v>
      </c>
      <c r="W116" s="29" t="s">
        <v>106</v>
      </c>
      <c r="X116"/>
    </row>
    <row r="117" spans="2:24">
      <c r="B117" s="46" t="s">
        <v>285</v>
      </c>
      <c r="C117" s="45"/>
      <c r="D117" s="35">
        <v>0.2673611111111111</v>
      </c>
      <c r="E117" s="35">
        <v>0.2673611111111111</v>
      </c>
      <c r="F117" s="35">
        <v>0.7993055555555556</v>
      </c>
      <c r="G117" s="35">
        <v>0.7993055555555556</v>
      </c>
      <c r="H117" s="29" t="s">
        <v>37</v>
      </c>
      <c r="I117" s="37">
        <v>0.27777777777777779</v>
      </c>
      <c r="J117" s="29" t="s">
        <v>37</v>
      </c>
      <c r="K117" s="37">
        <v>0.79236111111111107</v>
      </c>
      <c r="L117" s="28" t="s">
        <v>546</v>
      </c>
      <c r="M117" s="30">
        <v>0.28680555555555554</v>
      </c>
      <c r="N117" s="37">
        <v>0.78541666666666665</v>
      </c>
      <c r="O117" s="30">
        <v>0.36041666666666666</v>
      </c>
      <c r="P117" s="38">
        <v>111.6</v>
      </c>
      <c r="Q117" s="35">
        <v>0.37777777777777777</v>
      </c>
      <c r="R117" s="27"/>
      <c r="S117" s="27"/>
      <c r="T117" s="27"/>
      <c r="W117" s="29" t="s">
        <v>106</v>
      </c>
      <c r="X117"/>
    </row>
    <row r="118" spans="2:24">
      <c r="B118" s="46" t="s">
        <v>286</v>
      </c>
      <c r="C118" s="46"/>
      <c r="D118" s="35">
        <v>0.27569444444444446</v>
      </c>
      <c r="E118" s="35">
        <v>0.27569444444444446</v>
      </c>
      <c r="F118" s="35">
        <v>0.4201388888888889</v>
      </c>
      <c r="G118" s="35">
        <v>0.4201388888888889</v>
      </c>
      <c r="H118" s="29" t="s">
        <v>37</v>
      </c>
      <c r="I118" s="37">
        <v>0.28611111111111115</v>
      </c>
      <c r="J118" s="29" t="s">
        <v>37</v>
      </c>
      <c r="K118" s="37">
        <v>0.41319444444444442</v>
      </c>
      <c r="L118" s="28" t="s">
        <v>287</v>
      </c>
      <c r="M118" s="30">
        <v>0.28680555555555554</v>
      </c>
      <c r="N118" s="37">
        <v>0.40625</v>
      </c>
      <c r="O118" s="30">
        <v>0.12222222222222223</v>
      </c>
      <c r="P118" s="38">
        <v>36.4</v>
      </c>
      <c r="Q118" s="35">
        <v>0.12708333333333333</v>
      </c>
      <c r="W118" s="29" t="s">
        <v>106</v>
      </c>
      <c r="X118"/>
    </row>
    <row r="119" spans="2:24">
      <c r="B119" s="46" t="s">
        <v>533</v>
      </c>
      <c r="C119" s="25"/>
      <c r="D119" s="35">
        <v>0.47708333333333336</v>
      </c>
      <c r="E119" s="35">
        <v>0.47708333333333336</v>
      </c>
      <c r="F119" s="35">
        <v>0.55069444444444449</v>
      </c>
      <c r="G119" s="35">
        <v>0.55069444444444449</v>
      </c>
      <c r="H119" s="29" t="s">
        <v>37</v>
      </c>
      <c r="I119" s="37">
        <v>0.48402777777777778</v>
      </c>
      <c r="J119" s="29" t="s">
        <v>37</v>
      </c>
      <c r="K119" s="37">
        <v>0.54374999999999996</v>
      </c>
      <c r="L119" s="28" t="s">
        <v>62</v>
      </c>
      <c r="M119" s="30">
        <v>0.48819444444444443</v>
      </c>
      <c r="N119" s="37">
        <v>0.54166666666666663</v>
      </c>
      <c r="O119" s="30">
        <v>5.9722222222222225E-2</v>
      </c>
      <c r="P119" s="38">
        <v>18.600000000000001</v>
      </c>
      <c r="Q119" s="35">
        <v>5.9722222222222225E-2</v>
      </c>
      <c r="S119" s="27"/>
      <c r="T119" s="27"/>
      <c r="U119" s="27"/>
      <c r="V119" s="27"/>
      <c r="W119" s="29" t="s">
        <v>106</v>
      </c>
      <c r="X119"/>
    </row>
    <row r="120" spans="2:24">
      <c r="B120" s="46" t="s">
        <v>534</v>
      </c>
      <c r="C120" s="46"/>
      <c r="D120" s="35">
        <v>0.56041666666666667</v>
      </c>
      <c r="E120" s="35">
        <v>0.56041666666666667</v>
      </c>
      <c r="F120" s="35">
        <v>0.68958333333333333</v>
      </c>
      <c r="G120" s="35">
        <v>0.68958333333333333</v>
      </c>
      <c r="H120" s="29" t="s">
        <v>37</v>
      </c>
      <c r="I120" s="37">
        <v>0.56736111111111109</v>
      </c>
      <c r="J120" s="29" t="s">
        <v>37</v>
      </c>
      <c r="K120" s="37">
        <v>0.68263888888888891</v>
      </c>
      <c r="L120" s="28" t="s">
        <v>484</v>
      </c>
      <c r="M120" s="30">
        <v>0.57152777777777775</v>
      </c>
      <c r="N120" s="37">
        <v>0.68055555555555558</v>
      </c>
      <c r="O120" s="30">
        <v>0.11527777777777778</v>
      </c>
      <c r="P120" s="38">
        <v>35</v>
      </c>
      <c r="Q120" s="35">
        <v>0.11527777777777778</v>
      </c>
      <c r="S120" s="27"/>
      <c r="T120" s="27"/>
      <c r="U120" s="27"/>
      <c r="V120" s="27"/>
      <c r="W120" s="29" t="s">
        <v>106</v>
      </c>
      <c r="X120"/>
    </row>
    <row r="121" spans="2:24">
      <c r="B121" s="46" t="s">
        <v>535</v>
      </c>
      <c r="C121" s="25"/>
      <c r="D121" s="35">
        <v>0.75972222222222219</v>
      </c>
      <c r="E121" s="35">
        <v>0.75972222222222219</v>
      </c>
      <c r="F121" s="35">
        <v>0.82708333333333328</v>
      </c>
      <c r="G121" s="35">
        <v>0.82708333333333328</v>
      </c>
      <c r="H121" s="29" t="s">
        <v>37</v>
      </c>
      <c r="I121" s="37">
        <v>0.76666666666666672</v>
      </c>
      <c r="J121" s="29" t="s">
        <v>37</v>
      </c>
      <c r="K121" s="37">
        <v>0.82013888888888886</v>
      </c>
      <c r="L121" s="28" t="s">
        <v>166</v>
      </c>
      <c r="M121" s="30">
        <v>0.77083333333333337</v>
      </c>
      <c r="N121" s="37">
        <v>0.81319444444444444</v>
      </c>
      <c r="O121" s="30">
        <v>5.347222222222222E-2</v>
      </c>
      <c r="P121" s="38">
        <v>18.100000000000001</v>
      </c>
      <c r="Q121" s="35">
        <v>5.347222222222222E-2</v>
      </c>
      <c r="W121" s="29" t="s">
        <v>106</v>
      </c>
      <c r="X121"/>
    </row>
    <row r="122" spans="2:24">
      <c r="B122" s="46" t="s">
        <v>288</v>
      </c>
      <c r="C122" s="45"/>
      <c r="D122" s="35">
        <v>0.27569444444444446</v>
      </c>
      <c r="E122" s="35">
        <v>0.27569444444444446</v>
      </c>
      <c r="F122" s="35">
        <v>0.82708333333333328</v>
      </c>
      <c r="G122" s="35">
        <v>0.82708333333333328</v>
      </c>
      <c r="H122" s="29" t="s">
        <v>37</v>
      </c>
      <c r="I122" s="37">
        <v>0.28611111111111115</v>
      </c>
      <c r="J122" s="29" t="s">
        <v>37</v>
      </c>
      <c r="K122" s="37">
        <v>0.82013888888888886</v>
      </c>
      <c r="L122" s="28" t="s">
        <v>536</v>
      </c>
      <c r="M122" s="30">
        <v>0.2951388888888889</v>
      </c>
      <c r="N122" s="37">
        <v>0.81319444444444444</v>
      </c>
      <c r="O122" s="30">
        <v>0.35069444444444442</v>
      </c>
      <c r="P122" s="38">
        <v>108.1</v>
      </c>
      <c r="Q122" s="35">
        <v>0.37291666666666667</v>
      </c>
      <c r="W122" s="29" t="s">
        <v>106</v>
      </c>
      <c r="X122"/>
    </row>
    <row r="123" spans="2:24">
      <c r="B123" s="46" t="s">
        <v>579</v>
      </c>
      <c r="C123" s="44"/>
      <c r="D123" s="35">
        <v>0.27847222222222223</v>
      </c>
      <c r="E123" s="35">
        <v>0.27847222222222223</v>
      </c>
      <c r="F123" s="35">
        <v>0.39305555555555555</v>
      </c>
      <c r="G123" s="35">
        <v>0.39305555555555555</v>
      </c>
      <c r="H123" s="29" t="s">
        <v>37</v>
      </c>
      <c r="I123" s="37">
        <v>0.28888888888888886</v>
      </c>
      <c r="J123" s="29" t="s">
        <v>37</v>
      </c>
      <c r="K123" s="37">
        <v>0.38611111111111113</v>
      </c>
      <c r="L123" s="28" t="s">
        <v>149</v>
      </c>
      <c r="M123" s="30">
        <v>0.30486111111111114</v>
      </c>
      <c r="N123" s="37">
        <v>0.38611111111111113</v>
      </c>
      <c r="O123" s="30">
        <v>8.7499999999999994E-2</v>
      </c>
      <c r="P123" s="38">
        <v>35.6</v>
      </c>
      <c r="Q123" s="35">
        <v>9.7222222222222224E-2</v>
      </c>
      <c r="W123" s="29" t="s">
        <v>106</v>
      </c>
      <c r="X123"/>
    </row>
    <row r="124" spans="2:24">
      <c r="B124" s="46" t="s">
        <v>580</v>
      </c>
      <c r="C124" s="44"/>
      <c r="D124" s="35">
        <v>0.41736111111111113</v>
      </c>
      <c r="E124" s="35">
        <v>0.41736111111111113</v>
      </c>
      <c r="F124" s="35">
        <v>0.52013888888888893</v>
      </c>
      <c r="G124" s="35">
        <v>0.52013888888888893</v>
      </c>
      <c r="H124" s="29" t="s">
        <v>37</v>
      </c>
      <c r="I124" s="37">
        <v>0.42430555555555555</v>
      </c>
      <c r="J124" s="29" t="s">
        <v>37</v>
      </c>
      <c r="K124" s="37">
        <v>0.5131944444444444</v>
      </c>
      <c r="L124" s="28" t="s">
        <v>149</v>
      </c>
      <c r="M124" s="30">
        <v>0.44027777777777777</v>
      </c>
      <c r="N124" s="37">
        <v>0.49930555555555556</v>
      </c>
      <c r="O124" s="30">
        <v>7.9166666666666663E-2</v>
      </c>
      <c r="P124" s="38">
        <v>35.6</v>
      </c>
      <c r="Q124" s="35">
        <v>8.8888888888888892E-2</v>
      </c>
      <c r="W124" s="29" t="s">
        <v>106</v>
      </c>
      <c r="X124"/>
    </row>
    <row r="125" spans="2:24">
      <c r="B125" s="46" t="s">
        <v>581</v>
      </c>
      <c r="C125" s="44"/>
      <c r="D125" s="35">
        <v>0.65625</v>
      </c>
      <c r="E125" s="35">
        <v>0.65625</v>
      </c>
      <c r="F125" s="35">
        <v>0.82152777777777775</v>
      </c>
      <c r="G125" s="35">
        <v>0.82152777777777775</v>
      </c>
      <c r="H125" s="29" t="s">
        <v>37</v>
      </c>
      <c r="I125" s="37">
        <v>0.66319444444444442</v>
      </c>
      <c r="J125" s="29" t="s">
        <v>37</v>
      </c>
      <c r="K125" s="37">
        <v>0.81458333333333333</v>
      </c>
      <c r="L125" s="28" t="s">
        <v>149</v>
      </c>
      <c r="M125" s="30">
        <v>0.6791666666666667</v>
      </c>
      <c r="N125" s="37">
        <v>0.81458333333333333</v>
      </c>
      <c r="O125" s="30">
        <v>9.2361111111111116E-2</v>
      </c>
      <c r="P125" s="38">
        <v>38.6</v>
      </c>
      <c r="Q125" s="35">
        <v>9.2361111111111116E-2</v>
      </c>
      <c r="W125" s="29" t="s">
        <v>106</v>
      </c>
      <c r="X125"/>
    </row>
    <row r="126" spans="2:24">
      <c r="B126" s="46" t="s">
        <v>537</v>
      </c>
      <c r="C126" s="45"/>
      <c r="D126" s="35">
        <v>0.27847222222222223</v>
      </c>
      <c r="E126" s="35">
        <v>0.27847222222222223</v>
      </c>
      <c r="F126" s="35">
        <v>0.82152777777777775</v>
      </c>
      <c r="G126" s="35">
        <v>0.82152777777777775</v>
      </c>
      <c r="H126" s="29" t="s">
        <v>37</v>
      </c>
      <c r="I126" s="37">
        <v>0.28888888888888886</v>
      </c>
      <c r="J126" s="29" t="s">
        <v>37</v>
      </c>
      <c r="K126" s="37">
        <v>0.81458333333333333</v>
      </c>
      <c r="L126" s="28" t="s">
        <v>149</v>
      </c>
      <c r="M126" s="30">
        <v>0.30486111111111114</v>
      </c>
      <c r="N126" s="37">
        <v>0.80069444444444449</v>
      </c>
      <c r="O126" s="30">
        <v>0.20347222222222222</v>
      </c>
      <c r="P126" s="38">
        <v>85.8</v>
      </c>
      <c r="Q126" s="35">
        <v>0.24027777777777778</v>
      </c>
      <c r="W126" s="29" t="s">
        <v>106</v>
      </c>
      <c r="X126"/>
    </row>
    <row r="127" spans="2:24">
      <c r="B127" s="46"/>
      <c r="C127" s="44"/>
      <c r="H127" s="29"/>
      <c r="I127" s="37"/>
      <c r="J127" s="29"/>
      <c r="K127" s="37"/>
      <c r="L127" s="28"/>
      <c r="M127" s="30"/>
      <c r="N127" s="37"/>
      <c r="O127" s="30"/>
      <c r="P127" s="38"/>
      <c r="Q127" s="35"/>
      <c r="W127" s="29"/>
      <c r="X127"/>
    </row>
    <row r="128" spans="2:24">
      <c r="B128" s="46" t="s">
        <v>582</v>
      </c>
      <c r="C128" s="44"/>
      <c r="D128" s="35">
        <v>0.31736111111111109</v>
      </c>
      <c r="E128" s="35">
        <v>0.31736111111111109</v>
      </c>
      <c r="F128" s="35">
        <v>0.4284722222222222</v>
      </c>
      <c r="G128" s="35">
        <v>0.4284722222222222</v>
      </c>
      <c r="H128" s="29" t="s">
        <v>37</v>
      </c>
      <c r="I128" s="37">
        <v>0.32777777777777778</v>
      </c>
      <c r="J128" s="29" t="s">
        <v>37</v>
      </c>
      <c r="K128" s="37">
        <v>0.42152777777777778</v>
      </c>
      <c r="L128" s="28" t="s">
        <v>65</v>
      </c>
      <c r="M128" s="30">
        <v>0.33680555555555558</v>
      </c>
      <c r="N128" s="37">
        <v>0.41458333333333336</v>
      </c>
      <c r="O128" s="30">
        <v>8.4027777777777785E-2</v>
      </c>
      <c r="P128" s="38">
        <v>30.8</v>
      </c>
      <c r="Q128" s="35">
        <v>9.375E-2</v>
      </c>
      <c r="W128" s="29" t="s">
        <v>106</v>
      </c>
      <c r="X128"/>
    </row>
    <row r="129" spans="2:24">
      <c r="B129" s="46" t="s">
        <v>583</v>
      </c>
      <c r="C129" s="46"/>
      <c r="D129" s="35">
        <v>0.47708333333333336</v>
      </c>
      <c r="E129" s="35">
        <v>0.47708333333333336</v>
      </c>
      <c r="F129" s="35">
        <v>0.56805555555555554</v>
      </c>
      <c r="G129" s="35">
        <v>0.56805555555555554</v>
      </c>
      <c r="H129" s="29" t="s">
        <v>37</v>
      </c>
      <c r="I129" s="37">
        <v>0.48402777777777778</v>
      </c>
      <c r="J129" s="29" t="s">
        <v>37</v>
      </c>
      <c r="K129" s="37">
        <v>0.56111111111111112</v>
      </c>
      <c r="L129" s="27" t="s">
        <v>65</v>
      </c>
      <c r="M129" s="30">
        <v>0.48819444444444443</v>
      </c>
      <c r="N129" s="37">
        <v>0.5541666666666667</v>
      </c>
      <c r="O129" s="30">
        <v>6.7361111111111108E-2</v>
      </c>
      <c r="P129" s="38">
        <v>30.6</v>
      </c>
      <c r="Q129" s="35">
        <v>7.2222222222222215E-2</v>
      </c>
      <c r="W129" s="29" t="s">
        <v>106</v>
      </c>
      <c r="X129"/>
    </row>
    <row r="130" spans="2:24">
      <c r="B130" s="46" t="s">
        <v>584</v>
      </c>
      <c r="C130" s="44"/>
      <c r="D130" s="35">
        <v>0.58611111111111114</v>
      </c>
      <c r="E130" s="35">
        <v>0.58611111111111114</v>
      </c>
      <c r="F130" s="35">
        <v>0.71388888888888891</v>
      </c>
      <c r="G130" s="35">
        <v>0.71388888888888891</v>
      </c>
      <c r="H130" s="29" t="s">
        <v>37</v>
      </c>
      <c r="I130" s="37">
        <v>0.59305555555555556</v>
      </c>
      <c r="J130" s="29" t="s">
        <v>52</v>
      </c>
      <c r="K130" s="37">
        <v>0.70694444444444449</v>
      </c>
      <c r="L130" s="28" t="s">
        <v>585</v>
      </c>
      <c r="M130" s="30">
        <v>0.6020833333333333</v>
      </c>
      <c r="N130" s="37">
        <v>0.7</v>
      </c>
      <c r="O130" s="30">
        <v>9.375E-2</v>
      </c>
      <c r="P130" s="38">
        <v>36.700000000000003</v>
      </c>
      <c r="Q130" s="35">
        <v>9.375E-2</v>
      </c>
      <c r="W130" s="29" t="s">
        <v>106</v>
      </c>
      <c r="X130"/>
    </row>
    <row r="131" spans="2:24">
      <c r="B131" s="46" t="s">
        <v>586</v>
      </c>
      <c r="C131" s="25"/>
      <c r="D131" s="35">
        <v>0.71319444444444446</v>
      </c>
      <c r="E131" s="35">
        <v>0.71319444444444446</v>
      </c>
      <c r="F131" s="35">
        <v>0.81736111111111109</v>
      </c>
      <c r="G131" s="35">
        <v>0.81736111111111109</v>
      </c>
      <c r="H131" s="29" t="s">
        <v>52</v>
      </c>
      <c r="I131" s="37">
        <v>0.72013888888888888</v>
      </c>
      <c r="J131" s="29" t="s">
        <v>37</v>
      </c>
      <c r="K131" s="37">
        <v>0.81041666666666667</v>
      </c>
      <c r="L131" s="27" t="s">
        <v>585</v>
      </c>
      <c r="M131" s="30">
        <v>0.72916666666666663</v>
      </c>
      <c r="N131" s="37">
        <v>0.80347222222222225</v>
      </c>
      <c r="O131" s="30">
        <v>7.7083333333333337E-2</v>
      </c>
      <c r="P131" s="38">
        <v>28.1</v>
      </c>
      <c r="Q131" s="35">
        <v>8.5416666666666669E-2</v>
      </c>
      <c r="W131" s="29" t="s">
        <v>106</v>
      </c>
      <c r="X131"/>
    </row>
    <row r="132" spans="2:24">
      <c r="B132" s="46" t="s">
        <v>587</v>
      </c>
      <c r="C132" s="25"/>
      <c r="D132" s="35">
        <v>0.84166666666666667</v>
      </c>
      <c r="E132" s="35">
        <v>0.84166666666666667</v>
      </c>
      <c r="F132" s="35">
        <v>0.90347222222222223</v>
      </c>
      <c r="G132" s="35">
        <v>0.90347222222222223</v>
      </c>
      <c r="H132" s="29" t="s">
        <v>37</v>
      </c>
      <c r="I132" s="37">
        <v>0.84861111111111109</v>
      </c>
      <c r="J132" s="29" t="s">
        <v>53</v>
      </c>
      <c r="K132" s="37">
        <v>0.89652777777777781</v>
      </c>
      <c r="L132" s="27" t="s">
        <v>585</v>
      </c>
      <c r="M132" s="30">
        <v>0.85763888888888884</v>
      </c>
      <c r="N132" s="37">
        <v>0.89652777777777781</v>
      </c>
      <c r="O132" s="30">
        <v>4.791666666666667E-2</v>
      </c>
      <c r="P132" s="38">
        <v>21.4</v>
      </c>
      <c r="Q132" s="35">
        <v>4.791666666666667E-2</v>
      </c>
      <c r="W132" s="29" t="s">
        <v>106</v>
      </c>
      <c r="X132"/>
    </row>
    <row r="133" spans="2:24">
      <c r="B133" s="46" t="s">
        <v>588</v>
      </c>
      <c r="C133" s="25"/>
      <c r="D133" s="35">
        <v>0.84166666666666667</v>
      </c>
      <c r="E133" s="35">
        <v>0.84166666666666667</v>
      </c>
      <c r="F133" s="35">
        <v>0.92777777777777781</v>
      </c>
      <c r="G133" s="35">
        <v>0.92777777777777781</v>
      </c>
      <c r="H133" s="29" t="s">
        <v>37</v>
      </c>
      <c r="I133" s="37">
        <v>0.84861111111111109</v>
      </c>
      <c r="J133" s="29" t="s">
        <v>37</v>
      </c>
      <c r="K133" s="37">
        <v>0.92083333333333328</v>
      </c>
      <c r="L133" s="27">
        <v>1088</v>
      </c>
      <c r="M133" s="30">
        <v>0.85763888888888884</v>
      </c>
      <c r="N133" s="37">
        <v>0.92083333333333328</v>
      </c>
      <c r="O133" s="30">
        <v>7.2222222222222215E-2</v>
      </c>
      <c r="P133" s="38">
        <v>36</v>
      </c>
      <c r="Q133" s="35">
        <v>7.2222222222222215E-2</v>
      </c>
      <c r="W133" s="29" t="s">
        <v>106</v>
      </c>
      <c r="X133"/>
    </row>
    <row r="134" spans="2:24">
      <c r="B134" s="46" t="s">
        <v>589</v>
      </c>
      <c r="C134" s="85"/>
      <c r="D134" s="30">
        <v>0.31736111111111109</v>
      </c>
      <c r="E134" s="30">
        <v>0.31736111111111109</v>
      </c>
      <c r="F134" s="35">
        <v>0.92777777777777781</v>
      </c>
      <c r="G134" s="35">
        <v>0.92777777777777781</v>
      </c>
      <c r="H134" s="29" t="s">
        <v>37</v>
      </c>
      <c r="I134" s="37">
        <v>0.32777777777777778</v>
      </c>
      <c r="J134" s="29" t="s">
        <v>37</v>
      </c>
      <c r="K134" s="37">
        <v>0.92083333333333328</v>
      </c>
      <c r="L134" s="15" t="s">
        <v>590</v>
      </c>
      <c r="M134" s="30">
        <v>0.33680555555555558</v>
      </c>
      <c r="N134" s="37">
        <v>0.92083333333333328</v>
      </c>
      <c r="O134" s="30">
        <v>0.39444444444444443</v>
      </c>
      <c r="P134" s="38">
        <v>162</v>
      </c>
      <c r="Q134" s="35">
        <v>0.43472222222222223</v>
      </c>
      <c r="W134" s="29" t="s">
        <v>106</v>
      </c>
      <c r="X134"/>
    </row>
    <row r="135" spans="2:24">
      <c r="B135" s="46" t="s">
        <v>289</v>
      </c>
      <c r="C135" s="45"/>
      <c r="D135" s="30">
        <v>0.31736111111111109</v>
      </c>
      <c r="E135" s="30">
        <v>0.31736111111111109</v>
      </c>
      <c r="F135" s="30">
        <v>0.90347222222222223</v>
      </c>
      <c r="G135" s="30">
        <v>0.90347222222222223</v>
      </c>
      <c r="H135" s="29" t="s">
        <v>37</v>
      </c>
      <c r="I135" s="30">
        <v>0.32777777777777778</v>
      </c>
      <c r="J135" s="29" t="s">
        <v>53</v>
      </c>
      <c r="K135" s="37">
        <v>0.89652777777777781</v>
      </c>
      <c r="L135" s="15" t="s">
        <v>590</v>
      </c>
      <c r="M135" s="30">
        <v>0.33680555555555558</v>
      </c>
      <c r="N135" s="30">
        <v>0.89652777777777781</v>
      </c>
      <c r="O135" s="30">
        <v>0.37013888888888891</v>
      </c>
      <c r="P135" s="39">
        <v>147.4</v>
      </c>
      <c r="Q135" s="30">
        <v>0.41041666666666665</v>
      </c>
      <c r="W135" s="29" t="s">
        <v>106</v>
      </c>
      <c r="X135"/>
    </row>
    <row r="136" spans="2:24">
      <c r="B136" s="46" t="s">
        <v>591</v>
      </c>
      <c r="C136" s="44"/>
      <c r="D136" s="35">
        <v>0.27916666666666667</v>
      </c>
      <c r="E136" s="35">
        <v>0.27916666666666667</v>
      </c>
      <c r="F136" s="35">
        <v>0.35416666666666669</v>
      </c>
      <c r="G136" s="35">
        <v>0.35416666666666669</v>
      </c>
      <c r="H136" s="29" t="s">
        <v>53</v>
      </c>
      <c r="I136" s="37">
        <v>0.28958333333333336</v>
      </c>
      <c r="J136" s="29" t="s">
        <v>37</v>
      </c>
      <c r="K136" s="37">
        <v>0.34722222222222221</v>
      </c>
      <c r="L136" s="28" t="s">
        <v>486</v>
      </c>
      <c r="M136" s="30">
        <v>0.28958333333333336</v>
      </c>
      <c r="N136" s="37">
        <v>0.34027777777777779</v>
      </c>
      <c r="O136" s="30">
        <v>5.7638888888888892E-2</v>
      </c>
      <c r="P136" s="38">
        <v>21.4</v>
      </c>
      <c r="Q136" s="35">
        <v>5.7638888888888892E-2</v>
      </c>
      <c r="W136" s="29" t="s">
        <v>106</v>
      </c>
      <c r="X136"/>
    </row>
    <row r="137" spans="2:24">
      <c r="B137" s="46" t="s">
        <v>467</v>
      </c>
      <c r="C137" s="44"/>
      <c r="D137" s="35">
        <v>0.25277777777777777</v>
      </c>
      <c r="E137" s="35">
        <v>0.25277777777777777</v>
      </c>
      <c r="F137" s="35">
        <v>0.35416666666666669</v>
      </c>
      <c r="G137" s="35">
        <v>0.35416666666666669</v>
      </c>
      <c r="H137" s="29" t="s">
        <v>37</v>
      </c>
      <c r="I137" s="37">
        <v>0.26319444444444445</v>
      </c>
      <c r="J137" s="29" t="s">
        <v>37</v>
      </c>
      <c r="K137" s="37">
        <v>0.34722222222222221</v>
      </c>
      <c r="L137" s="28" t="s">
        <v>486</v>
      </c>
      <c r="M137" s="30">
        <v>0.28958333333333336</v>
      </c>
      <c r="N137" s="37">
        <v>0.34027777777777779</v>
      </c>
      <c r="O137" s="30">
        <v>8.1944444444444445E-2</v>
      </c>
      <c r="P137" s="38">
        <v>36</v>
      </c>
      <c r="Q137" s="35">
        <v>8.1944444444444445E-2</v>
      </c>
      <c r="W137" s="29" t="s">
        <v>106</v>
      </c>
      <c r="X137"/>
    </row>
    <row r="138" spans="2:24">
      <c r="B138" s="46" t="s">
        <v>592</v>
      </c>
      <c r="C138" s="25"/>
      <c r="D138" s="35">
        <v>0.37916666666666665</v>
      </c>
      <c r="E138" s="35">
        <v>0.37916666666666665</v>
      </c>
      <c r="F138" s="35">
        <v>0.48055555555555557</v>
      </c>
      <c r="G138" s="35">
        <v>0.48055555555555557</v>
      </c>
      <c r="H138" s="29" t="s">
        <v>37</v>
      </c>
      <c r="I138" s="37">
        <v>0.38611111111111113</v>
      </c>
      <c r="J138" s="29" t="s">
        <v>37</v>
      </c>
      <c r="K138" s="37">
        <v>0.47361111111111115</v>
      </c>
      <c r="L138" s="27" t="s">
        <v>585</v>
      </c>
      <c r="M138" s="30">
        <v>0.38611111111111113</v>
      </c>
      <c r="N138" s="37">
        <v>0.46666666666666662</v>
      </c>
      <c r="O138" s="30">
        <v>8.0555555555555561E-2</v>
      </c>
      <c r="P138" s="38">
        <v>30.7</v>
      </c>
      <c r="Q138" s="35">
        <v>8.9583333333333334E-2</v>
      </c>
      <c r="W138" s="29" t="s">
        <v>106</v>
      </c>
      <c r="X138"/>
    </row>
    <row r="139" spans="2:24">
      <c r="B139" s="46" t="s">
        <v>290</v>
      </c>
      <c r="C139" s="85"/>
      <c r="D139" s="35">
        <v>0.25277777777777777</v>
      </c>
      <c r="E139" s="35">
        <v>0.25277777777777777</v>
      </c>
      <c r="F139" s="35">
        <v>0.48055555555555557</v>
      </c>
      <c r="G139" s="35">
        <v>0.48055555555555557</v>
      </c>
      <c r="H139" s="29" t="s">
        <v>37</v>
      </c>
      <c r="I139" s="37">
        <v>0.26319444444444445</v>
      </c>
      <c r="J139" s="29" t="s">
        <v>37</v>
      </c>
      <c r="K139" s="37">
        <v>0.47361111111111109</v>
      </c>
      <c r="L139" s="27" t="s">
        <v>585</v>
      </c>
      <c r="M139" s="30">
        <v>0.28958333333333336</v>
      </c>
      <c r="N139" s="37">
        <v>0.46666666666666667</v>
      </c>
      <c r="O139" s="30">
        <v>0.16250000000000001</v>
      </c>
      <c r="P139" s="38">
        <v>66.7</v>
      </c>
      <c r="Q139" s="35">
        <v>0.18888888888888888</v>
      </c>
      <c r="W139" s="29" t="s">
        <v>106</v>
      </c>
      <c r="X139"/>
    </row>
    <row r="140" spans="2:24">
      <c r="B140" s="46" t="s">
        <v>291</v>
      </c>
      <c r="C140" s="45"/>
      <c r="D140" s="35">
        <v>0.27916666666666667</v>
      </c>
      <c r="E140" s="35">
        <v>0.27916666666666667</v>
      </c>
      <c r="F140" s="35">
        <v>0.48055555555555557</v>
      </c>
      <c r="G140" s="35">
        <v>0.48055555555555557</v>
      </c>
      <c r="H140" s="29" t="s">
        <v>53</v>
      </c>
      <c r="I140" s="37">
        <v>0.28958333333333336</v>
      </c>
      <c r="J140" s="29" t="s">
        <v>37</v>
      </c>
      <c r="K140" s="37">
        <v>0.47361111111111109</v>
      </c>
      <c r="L140" s="28" t="s">
        <v>486</v>
      </c>
      <c r="M140" s="30">
        <v>0.28958333333333336</v>
      </c>
      <c r="N140" s="37">
        <v>0.46666666666666667</v>
      </c>
      <c r="O140" s="30">
        <v>0.13819444444444445</v>
      </c>
      <c r="P140" s="38">
        <v>52.1</v>
      </c>
      <c r="Q140" s="35">
        <v>0.16458333333333333</v>
      </c>
      <c r="W140" s="29" t="s">
        <v>106</v>
      </c>
      <c r="X140"/>
    </row>
    <row r="141" spans="2:24">
      <c r="B141" s="46" t="s">
        <v>489</v>
      </c>
      <c r="C141" s="25"/>
      <c r="D141" s="30">
        <v>0.24722222222222223</v>
      </c>
      <c r="E141" s="30">
        <v>0.24722222222222223</v>
      </c>
      <c r="F141" s="35">
        <v>0.3576388888888889</v>
      </c>
      <c r="G141" s="35">
        <v>0.3576388888888889</v>
      </c>
      <c r="H141" s="29" t="s">
        <v>37</v>
      </c>
      <c r="I141" s="37">
        <v>0.25763888888888886</v>
      </c>
      <c r="J141" s="29" t="s">
        <v>37</v>
      </c>
      <c r="K141" s="37">
        <v>0.35069444444444442</v>
      </c>
      <c r="L141" s="28" t="s">
        <v>109</v>
      </c>
      <c r="M141" s="30">
        <v>0.26666666666666666</v>
      </c>
      <c r="N141" s="37">
        <v>0.34375</v>
      </c>
      <c r="O141" s="30">
        <v>8.819444444444445E-2</v>
      </c>
      <c r="P141" s="38">
        <v>33</v>
      </c>
      <c r="Q141" s="35">
        <v>9.3055555555555558E-2</v>
      </c>
      <c r="W141" s="29" t="s">
        <v>106</v>
      </c>
      <c r="X141"/>
    </row>
    <row r="142" spans="2:24">
      <c r="B142" s="46" t="s">
        <v>499</v>
      </c>
      <c r="C142" s="25"/>
      <c r="D142" s="35">
        <v>0.47708333333333336</v>
      </c>
      <c r="E142" s="35">
        <v>0.47708333333333336</v>
      </c>
      <c r="F142" s="35">
        <v>0.58263888888888893</v>
      </c>
      <c r="G142" s="35">
        <v>0.58263888888888893</v>
      </c>
      <c r="H142" s="29" t="s">
        <v>37</v>
      </c>
      <c r="I142" s="37">
        <v>0.48402777777777778</v>
      </c>
      <c r="J142" s="29" t="s">
        <v>37</v>
      </c>
      <c r="K142" s="37">
        <v>0.5756944444444444</v>
      </c>
      <c r="L142" s="28" t="s">
        <v>160</v>
      </c>
      <c r="M142" s="30">
        <v>0.49305555555555558</v>
      </c>
      <c r="N142" s="37">
        <v>0.56874999999999998</v>
      </c>
      <c r="O142" s="30">
        <v>8.3333333333333329E-2</v>
      </c>
      <c r="P142" s="38">
        <v>33</v>
      </c>
      <c r="Q142" s="35">
        <v>9.166666666666666E-2</v>
      </c>
      <c r="W142" s="29" t="s">
        <v>106</v>
      </c>
      <c r="X142"/>
    </row>
    <row r="143" spans="2:24">
      <c r="B143" s="46" t="s">
        <v>593</v>
      </c>
      <c r="C143" s="25"/>
      <c r="D143" s="35">
        <v>0.61875000000000002</v>
      </c>
      <c r="E143" s="35">
        <v>0.61875000000000002</v>
      </c>
      <c r="F143" s="35">
        <v>0.71250000000000002</v>
      </c>
      <c r="G143" s="35">
        <v>0.71250000000000002</v>
      </c>
      <c r="H143" s="29" t="s">
        <v>37</v>
      </c>
      <c r="I143" s="37">
        <v>0.62569444444444444</v>
      </c>
      <c r="J143" s="29" t="s">
        <v>37</v>
      </c>
      <c r="K143" s="37">
        <v>0.7055555555555556</v>
      </c>
      <c r="L143" s="28" t="s">
        <v>160</v>
      </c>
      <c r="M143" s="30">
        <v>0.63472222222222219</v>
      </c>
      <c r="N143" s="37">
        <v>0.69861111111111107</v>
      </c>
      <c r="O143" s="30">
        <v>7.4305555555555555E-2</v>
      </c>
      <c r="P143" s="38">
        <v>30.3</v>
      </c>
      <c r="Q143" s="35">
        <v>7.9861111111111105E-2</v>
      </c>
      <c r="W143" s="29" t="s">
        <v>106</v>
      </c>
      <c r="X143"/>
    </row>
    <row r="144" spans="2:24">
      <c r="B144" s="46" t="s">
        <v>292</v>
      </c>
      <c r="C144" s="25"/>
      <c r="D144" s="35">
        <v>0.73541666666666672</v>
      </c>
      <c r="E144" s="35">
        <v>0.73541666666666672</v>
      </c>
      <c r="F144" s="35">
        <v>0.85486111111111107</v>
      </c>
      <c r="G144" s="35">
        <v>0.85486111111111107</v>
      </c>
      <c r="H144" s="29" t="s">
        <v>37</v>
      </c>
      <c r="I144" s="37">
        <v>0.74236111111111114</v>
      </c>
      <c r="J144" s="29" t="s">
        <v>37</v>
      </c>
      <c r="K144" s="37">
        <v>0.84791666666666665</v>
      </c>
      <c r="L144" s="28" t="s">
        <v>160</v>
      </c>
      <c r="M144" s="30">
        <v>0.75138888888888888</v>
      </c>
      <c r="N144" s="37">
        <v>0.84097222222222223</v>
      </c>
      <c r="O144" s="30">
        <v>9.6527777777777782E-2</v>
      </c>
      <c r="P144" s="38">
        <v>34.700000000000003</v>
      </c>
      <c r="Q144" s="35">
        <v>0.10555555555555556</v>
      </c>
      <c r="W144" s="29" t="s">
        <v>106</v>
      </c>
      <c r="X144"/>
    </row>
    <row r="145" spans="2:24">
      <c r="B145" s="46" t="s">
        <v>293</v>
      </c>
      <c r="C145" s="45"/>
      <c r="D145" s="30" t="str">
        <f ca="1">IF($A$4="平日","5:56","11:27")</f>
        <v>11:27</v>
      </c>
      <c r="E145" s="30" t="str">
        <f ca="1">IF($A$4="平日","5:56","11:27")</f>
        <v>11:27</v>
      </c>
      <c r="F145" s="35">
        <v>0.85486111111111107</v>
      </c>
      <c r="G145" s="35">
        <v>0.85486111111111107</v>
      </c>
      <c r="H145" s="29" t="s">
        <v>37</v>
      </c>
      <c r="I145" s="30" t="str">
        <f ca="1">IF($A$4="平日","6:11","11:37")</f>
        <v>11:37</v>
      </c>
      <c r="J145" s="29" t="s">
        <v>37</v>
      </c>
      <c r="K145" s="37">
        <v>0.84791666666666665</v>
      </c>
      <c r="L145" s="29" t="str">
        <f ca="1">IF($A$4="平日","464     1025","1025")</f>
        <v>1025</v>
      </c>
      <c r="M145" s="30" t="str">
        <f ca="1">IF($A$4="平日","6:24","11:50")</f>
        <v>11:50</v>
      </c>
      <c r="N145" s="37">
        <v>0.84097222222222223</v>
      </c>
      <c r="O145" s="30" t="str">
        <f ca="1">IF($A$4="平日","8:13","6:06")</f>
        <v>6:06</v>
      </c>
      <c r="P145" s="39">
        <f ca="1">IF($A$4="平日",131,98)</f>
        <v>98</v>
      </c>
      <c r="Q145" s="30" t="str">
        <f ca="1">IF($A$4="平日","9:18","6:59")</f>
        <v>6:59</v>
      </c>
      <c r="W145" s="29" t="s">
        <v>106</v>
      </c>
      <c r="X145"/>
    </row>
    <row r="146" spans="2:24">
      <c r="B146" s="46" t="s">
        <v>594</v>
      </c>
      <c r="C146" s="25"/>
      <c r="D146" s="35">
        <v>0.24305555555555555</v>
      </c>
      <c r="E146" s="35">
        <v>0.24305555555555555</v>
      </c>
      <c r="F146" s="35">
        <v>0.36666666666666664</v>
      </c>
      <c r="G146" s="35">
        <v>0.36666666666666664</v>
      </c>
      <c r="H146" s="29" t="s">
        <v>37</v>
      </c>
      <c r="I146" s="37">
        <v>0.25347222222222221</v>
      </c>
      <c r="J146" s="29" t="s">
        <v>37</v>
      </c>
      <c r="K146" s="37">
        <v>0.35972222222222222</v>
      </c>
      <c r="L146" s="28" t="s">
        <v>66</v>
      </c>
      <c r="M146" s="30">
        <v>0.26250000000000001</v>
      </c>
      <c r="N146" s="37">
        <v>0.3527777777777778</v>
      </c>
      <c r="O146" s="30">
        <v>0.10208333333333333</v>
      </c>
      <c r="P146" s="38">
        <v>39.200000000000003</v>
      </c>
      <c r="Q146" s="35">
        <v>0.10625</v>
      </c>
      <c r="W146" s="29" t="s">
        <v>106</v>
      </c>
      <c r="X146"/>
    </row>
    <row r="147" spans="2:24">
      <c r="B147" s="46" t="s">
        <v>294</v>
      </c>
      <c r="C147" s="25"/>
      <c r="D147" s="30">
        <v>0.38680555555555557</v>
      </c>
      <c r="E147" s="30">
        <v>0.38680555555555557</v>
      </c>
      <c r="F147" s="30">
        <v>0.47569444444444442</v>
      </c>
      <c r="G147" s="30">
        <v>0.47569444444444442</v>
      </c>
      <c r="H147" s="29" t="s">
        <v>37</v>
      </c>
      <c r="I147" s="37">
        <v>0.39374999999999999</v>
      </c>
      <c r="J147" s="29" t="s">
        <v>37</v>
      </c>
      <c r="K147" s="37">
        <v>0.46875</v>
      </c>
      <c r="L147" s="28" t="s">
        <v>66</v>
      </c>
      <c r="M147" s="30">
        <v>0.40277777777777779</v>
      </c>
      <c r="N147" s="37">
        <v>0.46180555555555558</v>
      </c>
      <c r="O147" s="37">
        <v>6.7361111111111108E-2</v>
      </c>
      <c r="P147" s="39">
        <v>23.8</v>
      </c>
      <c r="Q147" s="30">
        <v>7.4999999999999997E-2</v>
      </c>
      <c r="W147" s="29" t="s">
        <v>106</v>
      </c>
      <c r="X147"/>
    </row>
    <row r="148" spans="2:24">
      <c r="B148" s="46" t="s">
        <v>539</v>
      </c>
      <c r="C148" s="25"/>
      <c r="D148" s="35">
        <v>0.4826388888888889</v>
      </c>
      <c r="E148" s="35">
        <v>0.4826388888888889</v>
      </c>
      <c r="F148" s="35">
        <v>0.55625000000000002</v>
      </c>
      <c r="G148" s="35">
        <v>0.55625000000000002</v>
      </c>
      <c r="H148" s="29" t="s">
        <v>37</v>
      </c>
      <c r="I148" s="37">
        <v>0.48958333333333331</v>
      </c>
      <c r="J148" s="29" t="s">
        <v>37</v>
      </c>
      <c r="K148" s="37">
        <v>0.5493055555555556</v>
      </c>
      <c r="L148" s="28" t="s">
        <v>166</v>
      </c>
      <c r="M148" s="30">
        <v>0.49375000000000002</v>
      </c>
      <c r="N148" s="37">
        <v>0.54722222222222228</v>
      </c>
      <c r="O148" s="30">
        <v>5.9722222222222225E-2</v>
      </c>
      <c r="P148" s="38">
        <v>18.600000000000001</v>
      </c>
      <c r="Q148" s="35">
        <v>5.9722222222222225E-2</v>
      </c>
      <c r="W148" s="29" t="s">
        <v>106</v>
      </c>
      <c r="X148"/>
    </row>
    <row r="149" spans="2:24">
      <c r="B149" s="46" t="s">
        <v>595</v>
      </c>
      <c r="C149" s="25"/>
      <c r="D149" s="35">
        <v>0.6069444444444444</v>
      </c>
      <c r="E149" s="35">
        <v>0.6069444444444444</v>
      </c>
      <c r="F149" s="35">
        <v>0.72222222222222221</v>
      </c>
      <c r="G149" s="35">
        <v>0.72222222222222221</v>
      </c>
      <c r="H149" s="29" t="s">
        <v>37</v>
      </c>
      <c r="I149" s="37">
        <v>0.61388888888888893</v>
      </c>
      <c r="J149" s="29" t="s">
        <v>52</v>
      </c>
      <c r="K149" s="37">
        <v>0.71527777777777779</v>
      </c>
      <c r="L149" s="28" t="s">
        <v>67</v>
      </c>
      <c r="M149" s="30">
        <v>0.61388888888888893</v>
      </c>
      <c r="N149" s="37">
        <v>0.70833333333333337</v>
      </c>
      <c r="O149" s="30">
        <v>9.583333333333334E-2</v>
      </c>
      <c r="P149" s="38">
        <v>33.9</v>
      </c>
      <c r="Q149" s="35">
        <v>9.8611111111111108E-2</v>
      </c>
      <c r="W149" s="29" t="s">
        <v>106</v>
      </c>
      <c r="X149"/>
    </row>
    <row r="150" spans="2:24">
      <c r="B150" s="46" t="s">
        <v>295</v>
      </c>
      <c r="C150" s="25"/>
      <c r="D150" s="35">
        <v>0.71805555555555556</v>
      </c>
      <c r="E150" s="35">
        <v>0.71805555555555556</v>
      </c>
      <c r="F150" s="35">
        <v>0.79166666666666663</v>
      </c>
      <c r="G150" s="35">
        <v>0.79166666666666663</v>
      </c>
      <c r="H150" s="29" t="s">
        <v>52</v>
      </c>
      <c r="I150" s="37">
        <v>0.72499999999999998</v>
      </c>
      <c r="J150" s="29" t="s">
        <v>53</v>
      </c>
      <c r="K150" s="37">
        <v>0.78472222222222221</v>
      </c>
      <c r="L150" s="28" t="s">
        <v>67</v>
      </c>
      <c r="M150" s="30">
        <v>0.73402777777777772</v>
      </c>
      <c r="N150" s="37">
        <v>0.78472222222222221</v>
      </c>
      <c r="O150" s="30">
        <v>5.486111111111111E-2</v>
      </c>
      <c r="P150" s="38">
        <v>18.399999999999999</v>
      </c>
      <c r="Q150" s="35">
        <v>5.486111111111111E-2</v>
      </c>
      <c r="W150" s="29" t="s">
        <v>106</v>
      </c>
      <c r="X150"/>
    </row>
    <row r="151" spans="2:24">
      <c r="B151" s="46" t="s">
        <v>296</v>
      </c>
      <c r="C151" s="25"/>
      <c r="D151" s="35">
        <v>0.71805555555555556</v>
      </c>
      <c r="E151" s="35">
        <v>0.71805555555555556</v>
      </c>
      <c r="F151" s="35">
        <v>0.81597222222222221</v>
      </c>
      <c r="G151" s="35">
        <v>0.81597222222222221</v>
      </c>
      <c r="H151" s="29" t="s">
        <v>52</v>
      </c>
      <c r="I151" s="37">
        <v>0.72499999999999998</v>
      </c>
      <c r="J151" s="29" t="s">
        <v>37</v>
      </c>
      <c r="K151" s="37">
        <v>0.80902777777777779</v>
      </c>
      <c r="L151" s="28" t="s">
        <v>67</v>
      </c>
      <c r="M151" s="30">
        <v>0.73402777777777772</v>
      </c>
      <c r="N151" s="37">
        <v>0.80902777777777779</v>
      </c>
      <c r="O151" s="30">
        <v>7.9166666666666663E-2</v>
      </c>
      <c r="P151" s="38">
        <v>33</v>
      </c>
      <c r="Q151" s="35">
        <v>7.9166666666666663E-2</v>
      </c>
      <c r="W151" s="29" t="s">
        <v>106</v>
      </c>
      <c r="X151"/>
    </row>
    <row r="152" spans="2:24">
      <c r="B152" s="46" t="s">
        <v>297</v>
      </c>
      <c r="C152" s="85"/>
      <c r="D152" s="30">
        <v>0.24305555555555555</v>
      </c>
      <c r="E152" s="30">
        <v>0.24305555555555555</v>
      </c>
      <c r="F152" s="30">
        <v>0.81597222222222221</v>
      </c>
      <c r="G152" s="30">
        <v>0.81597222222222221</v>
      </c>
      <c r="H152" s="29" t="s">
        <v>37</v>
      </c>
      <c r="I152" s="30">
        <v>0.25347222222222221</v>
      </c>
      <c r="J152" s="29" t="s">
        <v>37</v>
      </c>
      <c r="K152" s="37">
        <v>0.80902777777777779</v>
      </c>
      <c r="L152" s="29" t="s">
        <v>596</v>
      </c>
      <c r="M152" s="30">
        <v>0.26250000000000001</v>
      </c>
      <c r="N152" s="30">
        <v>0.80902777777777779</v>
      </c>
      <c r="O152" s="30">
        <v>0.39861111111111114</v>
      </c>
      <c r="P152" s="39">
        <v>148.5</v>
      </c>
      <c r="Q152" s="30">
        <v>0.43611111111111112</v>
      </c>
      <c r="W152" s="29" t="s">
        <v>106</v>
      </c>
      <c r="X152"/>
    </row>
    <row r="153" spans="2:24">
      <c r="B153" s="46" t="s">
        <v>298</v>
      </c>
      <c r="C153" s="45"/>
      <c r="D153" s="30">
        <v>0.24305555555555555</v>
      </c>
      <c r="E153" s="30">
        <v>0.24305555555555555</v>
      </c>
      <c r="F153" s="30">
        <v>0.79166666666666663</v>
      </c>
      <c r="G153" s="30">
        <v>0.79166666666666663</v>
      </c>
      <c r="H153" s="29" t="s">
        <v>37</v>
      </c>
      <c r="I153" s="30">
        <v>0.25347222222222221</v>
      </c>
      <c r="J153" s="29" t="s">
        <v>53</v>
      </c>
      <c r="K153" s="37">
        <v>0.78472222222222221</v>
      </c>
      <c r="L153" s="29" t="s">
        <v>596</v>
      </c>
      <c r="M153" s="30">
        <v>0.26250000000000001</v>
      </c>
      <c r="N153" s="30">
        <v>0.78472222222222221</v>
      </c>
      <c r="O153" s="30">
        <v>0.37430555555555556</v>
      </c>
      <c r="P153" s="39">
        <v>133.9</v>
      </c>
      <c r="Q153" s="30">
        <v>0.41180555555555554</v>
      </c>
      <c r="W153" s="29" t="s">
        <v>106</v>
      </c>
      <c r="X153"/>
    </row>
    <row r="154" spans="2:24">
      <c r="B154" s="46" t="s">
        <v>299</v>
      </c>
      <c r="C154" s="25"/>
      <c r="D154" s="35">
        <v>0.26458333333333334</v>
      </c>
      <c r="E154" s="35">
        <v>0.26458333333333334</v>
      </c>
      <c r="F154" s="35">
        <v>0.33402777777777776</v>
      </c>
      <c r="G154" s="35">
        <v>0.33402777777777776</v>
      </c>
      <c r="H154" s="29" t="s">
        <v>53</v>
      </c>
      <c r="I154" s="37">
        <v>0.27500000000000002</v>
      </c>
      <c r="J154" s="29" t="s">
        <v>37</v>
      </c>
      <c r="K154" s="37">
        <v>0.32708333333333334</v>
      </c>
      <c r="L154" s="28" t="s">
        <v>67</v>
      </c>
      <c r="M154" s="30">
        <v>0.27500000000000002</v>
      </c>
      <c r="N154" s="37">
        <v>0.32013888888888886</v>
      </c>
      <c r="O154" s="30">
        <v>4.7222222222222221E-2</v>
      </c>
      <c r="P154" s="38">
        <v>18.399999999999999</v>
      </c>
      <c r="Q154" s="35">
        <v>4.7222222222222221E-2</v>
      </c>
      <c r="W154" s="29" t="s">
        <v>106</v>
      </c>
      <c r="X154"/>
    </row>
    <row r="155" spans="2:24">
      <c r="B155" s="46" t="s">
        <v>300</v>
      </c>
      <c r="C155" s="25"/>
      <c r="D155" s="35">
        <v>0.23819444444444443</v>
      </c>
      <c r="E155" s="35">
        <v>0.23819444444444443</v>
      </c>
      <c r="F155" s="35">
        <v>0.33402777777777776</v>
      </c>
      <c r="G155" s="35">
        <v>0.33402777777777776</v>
      </c>
      <c r="H155" s="29" t="s">
        <v>37</v>
      </c>
      <c r="I155" s="37">
        <v>0.24861111111111112</v>
      </c>
      <c r="J155" s="29" t="s">
        <v>37</v>
      </c>
      <c r="K155" s="37">
        <v>0.32708333333333334</v>
      </c>
      <c r="L155" s="28" t="s">
        <v>67</v>
      </c>
      <c r="M155" s="30">
        <v>0.27500000000000002</v>
      </c>
      <c r="N155" s="37">
        <v>0.32013888888888886</v>
      </c>
      <c r="O155" s="30">
        <v>7.1527777777777773E-2</v>
      </c>
      <c r="P155" s="38">
        <v>33</v>
      </c>
      <c r="Q155" s="35">
        <v>7.1527777777777773E-2</v>
      </c>
      <c r="W155" s="29" t="s">
        <v>106</v>
      </c>
      <c r="X155"/>
    </row>
    <row r="156" spans="2:24">
      <c r="B156" s="46" t="s">
        <v>597</v>
      </c>
      <c r="C156" s="25"/>
      <c r="D156" s="35">
        <v>0.32569444444444445</v>
      </c>
      <c r="E156" s="35">
        <v>0.32569444444444445</v>
      </c>
      <c r="F156" s="35">
        <v>0.45</v>
      </c>
      <c r="G156" s="35">
        <v>0.45</v>
      </c>
      <c r="H156" s="29" t="s">
        <v>37</v>
      </c>
      <c r="I156" s="37">
        <v>0.33263888888888887</v>
      </c>
      <c r="J156" s="29" t="s">
        <v>37</v>
      </c>
      <c r="K156" s="37">
        <v>0.44305555555555554</v>
      </c>
      <c r="L156" s="28" t="s">
        <v>67</v>
      </c>
      <c r="M156" s="30">
        <v>0.34166666666666667</v>
      </c>
      <c r="N156" s="37">
        <v>0.44305555555555554</v>
      </c>
      <c r="O156" s="30">
        <v>9.583333333333334E-2</v>
      </c>
      <c r="P156" s="38">
        <v>36.9</v>
      </c>
      <c r="Q156" s="35">
        <v>0.10555555555555556</v>
      </c>
      <c r="W156" s="29" t="s">
        <v>106</v>
      </c>
      <c r="X156"/>
    </row>
    <row r="157" spans="2:24">
      <c r="B157" s="46" t="s">
        <v>301</v>
      </c>
      <c r="C157" s="85"/>
      <c r="D157" s="35">
        <v>0.23819444444444443</v>
      </c>
      <c r="E157" s="35">
        <v>0.23819444444444443</v>
      </c>
      <c r="F157" s="35">
        <v>0.45</v>
      </c>
      <c r="G157" s="35">
        <v>0.45</v>
      </c>
      <c r="H157" s="29" t="s">
        <v>37</v>
      </c>
      <c r="I157" s="37">
        <v>0.24861111111111112</v>
      </c>
      <c r="J157" s="29" t="s">
        <v>37</v>
      </c>
      <c r="K157" s="37">
        <v>0.44305555555555554</v>
      </c>
      <c r="L157" s="28" t="s">
        <v>67</v>
      </c>
      <c r="M157" s="30">
        <v>0.24861111111111112</v>
      </c>
      <c r="N157" s="37">
        <v>0.44305555555555554</v>
      </c>
      <c r="O157" s="30">
        <v>0.1673611111111111</v>
      </c>
      <c r="P157" s="38">
        <v>69.900000000000006</v>
      </c>
      <c r="Q157" s="35">
        <v>0.19444444444444445</v>
      </c>
      <c r="W157" s="29" t="s">
        <v>106</v>
      </c>
      <c r="X157"/>
    </row>
    <row r="158" spans="2:24">
      <c r="B158" s="46" t="s">
        <v>302</v>
      </c>
      <c r="C158" s="45"/>
      <c r="D158" s="30">
        <v>0.26458333333333334</v>
      </c>
      <c r="E158" s="30">
        <v>0.26458333333333334</v>
      </c>
      <c r="F158" s="35">
        <v>0.45</v>
      </c>
      <c r="G158" s="35">
        <v>0.45</v>
      </c>
      <c r="H158" s="29" t="s">
        <v>53</v>
      </c>
      <c r="I158" s="30">
        <v>0.27500000000000002</v>
      </c>
      <c r="J158" s="29" t="s">
        <v>37</v>
      </c>
      <c r="K158" s="37">
        <v>0.44305555555555554</v>
      </c>
      <c r="L158" s="28" t="s">
        <v>67</v>
      </c>
      <c r="M158" s="30">
        <v>0.27500000000000002</v>
      </c>
      <c r="N158" s="37">
        <v>0.44305555555555554</v>
      </c>
      <c r="O158" s="37">
        <v>0.14305555555555555</v>
      </c>
      <c r="P158" s="39">
        <v>55.3</v>
      </c>
      <c r="Q158" s="30">
        <v>0.1701388888888889</v>
      </c>
      <c r="R158" s="38">
        <v>133.9</v>
      </c>
      <c r="W158" s="29" t="s">
        <v>106</v>
      </c>
      <c r="X158"/>
    </row>
    <row r="159" spans="2:24">
      <c r="K159" s="36"/>
      <c r="W159" s="29"/>
      <c r="X159"/>
    </row>
    <row r="160" spans="2:24">
      <c r="B160" s="46" t="s">
        <v>598</v>
      </c>
      <c r="C160" s="25"/>
      <c r="D160" s="35">
        <v>0.28333333333333333</v>
      </c>
      <c r="E160" s="35">
        <v>0.28333333333333333</v>
      </c>
      <c r="F160" s="35">
        <v>0.41249999999999998</v>
      </c>
      <c r="G160" s="35">
        <v>0.41249999999999998</v>
      </c>
      <c r="H160" s="29" t="s">
        <v>37</v>
      </c>
      <c r="I160" s="37">
        <v>0.29375000000000001</v>
      </c>
      <c r="J160" s="29" t="s">
        <v>37</v>
      </c>
      <c r="K160" s="37">
        <v>0.40555555555555556</v>
      </c>
      <c r="L160" s="27" t="s">
        <v>63</v>
      </c>
      <c r="M160" s="30">
        <v>0.30277777777777776</v>
      </c>
      <c r="N160" s="37">
        <v>0.39861111111111114</v>
      </c>
      <c r="O160" s="30">
        <v>9.930555555555555E-2</v>
      </c>
      <c r="P160" s="74">
        <v>34.700000000000003</v>
      </c>
      <c r="Q160" s="35">
        <v>9.930555555555555E-2</v>
      </c>
      <c r="W160" s="29" t="s">
        <v>106</v>
      </c>
      <c r="X160"/>
    </row>
    <row r="161" spans="2:24">
      <c r="B161" s="46" t="s">
        <v>599</v>
      </c>
      <c r="C161" s="46"/>
      <c r="D161" s="35">
        <v>0.44791666666666669</v>
      </c>
      <c r="E161" s="35">
        <v>0.44791666666666669</v>
      </c>
      <c r="F161" s="35">
        <v>0.53333333333333333</v>
      </c>
      <c r="G161" s="35">
        <v>0.53333333333333333</v>
      </c>
      <c r="H161" s="29" t="s">
        <v>37</v>
      </c>
      <c r="I161" s="37">
        <v>0.4548611111111111</v>
      </c>
      <c r="J161" s="29" t="s">
        <v>37</v>
      </c>
      <c r="K161" s="37">
        <v>0.52638888888888891</v>
      </c>
      <c r="L161" s="27" t="s">
        <v>63</v>
      </c>
      <c r="M161" s="30">
        <v>0.46388888888888891</v>
      </c>
      <c r="N161" s="37">
        <v>0.51944444444444449</v>
      </c>
      <c r="O161" s="30">
        <v>6.6666666666666666E-2</v>
      </c>
      <c r="P161" s="38">
        <v>23.8</v>
      </c>
      <c r="Q161" s="35">
        <v>7.1527777777777773E-2</v>
      </c>
      <c r="W161" s="29" t="s">
        <v>106</v>
      </c>
      <c r="X161"/>
    </row>
    <row r="162" spans="2:24">
      <c r="B162" s="46" t="s">
        <v>303</v>
      </c>
      <c r="C162" s="25"/>
      <c r="D162" s="35">
        <v>0.58125000000000004</v>
      </c>
      <c r="E162" s="35">
        <v>0.58125000000000004</v>
      </c>
      <c r="F162" s="35">
        <v>0.67638888888888893</v>
      </c>
      <c r="G162" s="35">
        <v>0.67638888888888893</v>
      </c>
      <c r="H162" s="29" t="s">
        <v>37</v>
      </c>
      <c r="I162" s="37">
        <v>0.58819444444444446</v>
      </c>
      <c r="J162" s="29" t="s">
        <v>37</v>
      </c>
      <c r="K162" s="37">
        <v>0.6694444444444444</v>
      </c>
      <c r="L162" s="27">
        <v>1086</v>
      </c>
      <c r="M162" s="30">
        <v>0.59722222222222221</v>
      </c>
      <c r="N162" s="37">
        <v>0.66249999999999998</v>
      </c>
      <c r="O162" s="30">
        <v>7.6388888888888895E-2</v>
      </c>
      <c r="P162" s="38">
        <v>30.6</v>
      </c>
      <c r="Q162" s="35">
        <v>8.1250000000000003E-2</v>
      </c>
      <c r="W162" s="29" t="s">
        <v>106</v>
      </c>
      <c r="X162"/>
    </row>
    <row r="163" spans="2:24">
      <c r="B163" s="46" t="s">
        <v>600</v>
      </c>
      <c r="C163" s="25"/>
      <c r="D163" s="35">
        <v>0.68958333333333333</v>
      </c>
      <c r="E163" s="35">
        <v>0.68958333333333333</v>
      </c>
      <c r="F163" s="35">
        <v>0.80972222222222223</v>
      </c>
      <c r="G163" s="35">
        <v>0.80972222222222223</v>
      </c>
      <c r="H163" s="29" t="s">
        <v>37</v>
      </c>
      <c r="I163" s="37">
        <v>0.69652777777777775</v>
      </c>
      <c r="J163" s="29" t="s">
        <v>52</v>
      </c>
      <c r="K163" s="37">
        <v>0.80277777777777781</v>
      </c>
      <c r="L163" s="27">
        <v>1086</v>
      </c>
      <c r="M163" s="30">
        <v>0.7055555555555556</v>
      </c>
      <c r="N163" s="37">
        <v>0.79583333333333328</v>
      </c>
      <c r="O163" s="30">
        <v>9.375E-2</v>
      </c>
      <c r="P163" s="38">
        <v>40.299999999999997</v>
      </c>
      <c r="Q163" s="35">
        <v>0.10138888888888889</v>
      </c>
      <c r="W163" s="29" t="s">
        <v>106</v>
      </c>
      <c r="X163"/>
    </row>
    <row r="164" spans="2:24">
      <c r="B164" s="46" t="s">
        <v>601</v>
      </c>
      <c r="D164" s="35">
        <v>0.80625000000000002</v>
      </c>
      <c r="E164" s="35">
        <v>0.80625000000000002</v>
      </c>
      <c r="F164" s="35">
        <v>0.86875000000000002</v>
      </c>
      <c r="G164" s="35">
        <v>0.86875000000000002</v>
      </c>
      <c r="H164" s="29" t="s">
        <v>52</v>
      </c>
      <c r="I164" s="37">
        <v>0.81319444444444444</v>
      </c>
      <c r="J164" s="29" t="s">
        <v>53</v>
      </c>
      <c r="K164" s="37">
        <v>0.8618055555555556</v>
      </c>
      <c r="L164" s="27">
        <v>1086</v>
      </c>
      <c r="M164" s="30">
        <v>0.82222222222222219</v>
      </c>
      <c r="N164" s="37">
        <v>0.8618055555555556</v>
      </c>
      <c r="O164" s="30">
        <v>4.3749999999999997E-2</v>
      </c>
      <c r="P164" s="38">
        <v>18.899999999999999</v>
      </c>
      <c r="Q164" s="35">
        <v>4.3749999999999997E-2</v>
      </c>
      <c r="W164" s="29" t="s">
        <v>106</v>
      </c>
      <c r="X164"/>
    </row>
    <row r="165" spans="2:24">
      <c r="B165" s="46" t="s">
        <v>602</v>
      </c>
      <c r="D165" s="35">
        <v>0.80625000000000002</v>
      </c>
      <c r="E165" s="35">
        <v>0.80625000000000002</v>
      </c>
      <c r="F165" s="35">
        <v>0.8930555555555556</v>
      </c>
      <c r="G165" s="35">
        <v>0.8930555555555556</v>
      </c>
      <c r="H165" s="29" t="s">
        <v>52</v>
      </c>
      <c r="I165" s="37">
        <v>0.81319444444444444</v>
      </c>
      <c r="J165" s="29" t="s">
        <v>37</v>
      </c>
      <c r="K165" s="37">
        <v>0.88611111111111107</v>
      </c>
      <c r="L165" s="27">
        <v>1086</v>
      </c>
      <c r="M165" s="30">
        <v>0.82222222222222219</v>
      </c>
      <c r="N165" s="37">
        <v>0.88611111111111107</v>
      </c>
      <c r="O165" s="30">
        <v>6.805555555555555E-2</v>
      </c>
      <c r="P165" s="38">
        <v>33.5</v>
      </c>
      <c r="Q165" s="35">
        <v>6.805555555555555E-2</v>
      </c>
      <c r="W165" s="29" t="s">
        <v>106</v>
      </c>
      <c r="X165"/>
    </row>
    <row r="166" spans="2:24">
      <c r="B166" s="46" t="s">
        <v>304</v>
      </c>
      <c r="C166" s="85"/>
      <c r="D166" s="35">
        <v>0.28333333333333333</v>
      </c>
      <c r="E166" s="35">
        <v>0.28333333333333333</v>
      </c>
      <c r="F166" s="35">
        <v>0.8930555555555556</v>
      </c>
      <c r="G166" s="35">
        <v>0.8930555555555556</v>
      </c>
      <c r="H166" s="29" t="s">
        <v>37</v>
      </c>
      <c r="I166" s="37">
        <v>0.29375000000000001</v>
      </c>
      <c r="J166" s="29" t="s">
        <v>37</v>
      </c>
      <c r="K166" s="37">
        <v>0.88611111111111107</v>
      </c>
      <c r="L166" s="28" t="s">
        <v>603</v>
      </c>
      <c r="M166" s="30">
        <v>0.30277777777777776</v>
      </c>
      <c r="N166" s="37">
        <v>0.88611111111111107</v>
      </c>
      <c r="O166" s="30">
        <v>0.40416666666666667</v>
      </c>
      <c r="P166" s="38">
        <v>162.9</v>
      </c>
      <c r="Q166" s="35">
        <v>0.43888888888888888</v>
      </c>
      <c r="W166" s="29" t="s">
        <v>106</v>
      </c>
      <c r="X166"/>
    </row>
    <row r="167" spans="2:24">
      <c r="B167" s="46" t="s">
        <v>305</v>
      </c>
      <c r="C167" s="45"/>
      <c r="D167" s="35">
        <v>0.28333333333333333</v>
      </c>
      <c r="E167" s="35">
        <v>0.28333333333333333</v>
      </c>
      <c r="F167" s="35">
        <v>0.86875000000000002</v>
      </c>
      <c r="G167" s="35">
        <v>0.86875000000000002</v>
      </c>
      <c r="H167" s="29" t="s">
        <v>37</v>
      </c>
      <c r="I167" s="37">
        <v>0.29375000000000001</v>
      </c>
      <c r="J167" s="29" t="s">
        <v>53</v>
      </c>
      <c r="K167" s="37">
        <v>0.8618055555555556</v>
      </c>
      <c r="L167" s="28" t="s">
        <v>603</v>
      </c>
      <c r="M167" s="30">
        <v>0.30277777777777776</v>
      </c>
      <c r="N167" s="37">
        <v>0.8618055555555556</v>
      </c>
      <c r="O167" s="30">
        <v>0.37986111111111109</v>
      </c>
      <c r="P167" s="38">
        <v>148.30000000000001</v>
      </c>
      <c r="Q167" s="35">
        <v>0.41458333333333336</v>
      </c>
      <c r="W167" s="29" t="s">
        <v>106</v>
      </c>
      <c r="X167"/>
    </row>
    <row r="168" spans="2:24">
      <c r="B168" s="46" t="s">
        <v>604</v>
      </c>
      <c r="C168" s="25"/>
      <c r="D168" s="35">
        <v>0.27500000000000002</v>
      </c>
      <c r="E168" s="35">
        <v>0.27500000000000002</v>
      </c>
      <c r="F168" s="35">
        <v>0.34722222222222221</v>
      </c>
      <c r="G168" s="35">
        <v>0.34722222222222221</v>
      </c>
      <c r="H168" s="29" t="s">
        <v>53</v>
      </c>
      <c r="I168" s="37">
        <v>0.28541666666666665</v>
      </c>
      <c r="J168" s="29" t="s">
        <v>52</v>
      </c>
      <c r="K168" s="37">
        <v>0.34027777777777779</v>
      </c>
      <c r="L168" s="27">
        <v>1086</v>
      </c>
      <c r="M168" s="30">
        <v>0.28541666666666665</v>
      </c>
      <c r="N168" s="37">
        <v>0.33333333333333331</v>
      </c>
      <c r="O168" s="30">
        <v>0.05</v>
      </c>
      <c r="P168" s="38">
        <v>18.399999999999999</v>
      </c>
      <c r="Q168" s="35">
        <v>0.05</v>
      </c>
      <c r="W168" s="29" t="s">
        <v>106</v>
      </c>
      <c r="X168"/>
    </row>
    <row r="169" spans="2:24">
      <c r="B169" s="46" t="s">
        <v>306</v>
      </c>
      <c r="C169" s="25"/>
      <c r="D169" s="35">
        <v>0.24861111111111112</v>
      </c>
      <c r="E169" s="35">
        <v>0.24861111111111112</v>
      </c>
      <c r="F169" s="35">
        <v>0.34722222222222221</v>
      </c>
      <c r="G169" s="35">
        <v>0.34722222222222221</v>
      </c>
      <c r="H169" s="29" t="s">
        <v>37</v>
      </c>
      <c r="I169" s="37">
        <v>0.2590277777777778</v>
      </c>
      <c r="J169" s="29" t="s">
        <v>37</v>
      </c>
      <c r="K169" s="37">
        <v>0.34027777777777779</v>
      </c>
      <c r="L169" s="27">
        <v>1086</v>
      </c>
      <c r="M169" s="30">
        <v>0.2590277777777778</v>
      </c>
      <c r="N169" s="37">
        <v>0.33333333333333331</v>
      </c>
      <c r="O169" s="30">
        <v>7.6388888888888895E-2</v>
      </c>
      <c r="P169" s="38">
        <v>33</v>
      </c>
      <c r="Q169" s="35">
        <v>7.6388888888888895E-2</v>
      </c>
      <c r="W169" s="29" t="s">
        <v>106</v>
      </c>
      <c r="X169"/>
    </row>
    <row r="170" spans="2:24">
      <c r="B170" s="46" t="s">
        <v>605</v>
      </c>
      <c r="C170" s="25"/>
      <c r="D170" s="35">
        <v>0.34861111111111109</v>
      </c>
      <c r="E170" s="35">
        <v>0.34861111111111109</v>
      </c>
      <c r="F170" s="35">
        <v>0.47083333333333333</v>
      </c>
      <c r="G170" s="35">
        <v>0.47083333333333333</v>
      </c>
      <c r="H170" s="29" t="s">
        <v>52</v>
      </c>
      <c r="I170" s="37">
        <v>0.38611111111111113</v>
      </c>
      <c r="J170" s="29" t="s">
        <v>37</v>
      </c>
      <c r="K170" s="37">
        <v>0.46388888888888891</v>
      </c>
      <c r="L170" s="27">
        <v>1086</v>
      </c>
      <c r="M170" s="30">
        <v>0.36458333333333331</v>
      </c>
      <c r="N170" s="37">
        <v>0.45694444444444443</v>
      </c>
      <c r="O170" s="30">
        <v>9.7916666666666666E-2</v>
      </c>
      <c r="P170" s="38">
        <v>43.4</v>
      </c>
      <c r="Q170" s="35">
        <v>0.10347222222222222</v>
      </c>
      <c r="W170" s="29" t="s">
        <v>106</v>
      </c>
      <c r="X170"/>
    </row>
    <row r="171" spans="2:24">
      <c r="B171" s="46" t="s">
        <v>307</v>
      </c>
      <c r="C171" s="85"/>
      <c r="D171" s="35">
        <v>0.24861111111111112</v>
      </c>
      <c r="E171" s="35">
        <v>0.24861111111111112</v>
      </c>
      <c r="F171" s="35">
        <v>0.47083333333333333</v>
      </c>
      <c r="G171" s="35">
        <v>0.47083333333333333</v>
      </c>
      <c r="H171" s="29" t="s">
        <v>37</v>
      </c>
      <c r="I171" s="37">
        <v>0.2590277777777778</v>
      </c>
      <c r="J171" s="29" t="s">
        <v>37</v>
      </c>
      <c r="K171" s="37">
        <v>0.46388888888888891</v>
      </c>
      <c r="L171" s="27">
        <v>1086</v>
      </c>
      <c r="M171" s="30">
        <v>0.2590277777777778</v>
      </c>
      <c r="N171" s="37">
        <v>0.45694444444444443</v>
      </c>
      <c r="O171" s="30">
        <v>0.17430555555555555</v>
      </c>
      <c r="P171" s="38">
        <v>76.400000000000006</v>
      </c>
      <c r="Q171" s="35">
        <v>0.19722222222222222</v>
      </c>
      <c r="W171" s="29" t="s">
        <v>106</v>
      </c>
      <c r="X171"/>
    </row>
    <row r="172" spans="2:24">
      <c r="B172" s="46" t="s">
        <v>308</v>
      </c>
      <c r="C172" s="45"/>
      <c r="D172" s="35">
        <v>0.27500000000000002</v>
      </c>
      <c r="E172" s="35">
        <v>0.27500000000000002</v>
      </c>
      <c r="F172" s="35">
        <v>0.47083333333333333</v>
      </c>
      <c r="G172" s="35">
        <v>0.47083333333333333</v>
      </c>
      <c r="H172" s="29" t="s">
        <v>53</v>
      </c>
      <c r="I172" s="37">
        <v>0.28541666666666665</v>
      </c>
      <c r="J172" s="29" t="s">
        <v>37</v>
      </c>
      <c r="K172" s="37">
        <v>0.46388888888888891</v>
      </c>
      <c r="L172" s="27">
        <v>1086</v>
      </c>
      <c r="M172" s="30">
        <v>0.28541666666666665</v>
      </c>
      <c r="N172" s="37">
        <v>0.45763888888888887</v>
      </c>
      <c r="O172" s="30">
        <v>0.14791666666666667</v>
      </c>
      <c r="P172" s="38">
        <v>61.8</v>
      </c>
      <c r="Q172" s="35">
        <v>0.17083333333333334</v>
      </c>
      <c r="W172" s="29" t="s">
        <v>106</v>
      </c>
      <c r="X172"/>
    </row>
    <row r="173" spans="2:24">
      <c r="B173" s="46" t="s">
        <v>309</v>
      </c>
      <c r="C173" s="25"/>
      <c r="D173" s="35">
        <v>0.23055555555555557</v>
      </c>
      <c r="E173" s="35">
        <v>0.23055555555555557</v>
      </c>
      <c r="F173" s="35">
        <v>0.34583333333333333</v>
      </c>
      <c r="G173" s="35">
        <v>0.34583333333333333</v>
      </c>
      <c r="H173" s="29" t="s">
        <v>37</v>
      </c>
      <c r="I173" s="37">
        <v>0.24097222222222223</v>
      </c>
      <c r="J173" s="29" t="s">
        <v>37</v>
      </c>
      <c r="K173" s="37">
        <v>0.33888888888888891</v>
      </c>
      <c r="L173" s="27" t="s">
        <v>108</v>
      </c>
      <c r="M173" s="30">
        <v>0.25</v>
      </c>
      <c r="N173" s="37">
        <v>0.33194444444444443</v>
      </c>
      <c r="O173" s="30">
        <v>9.166666666666666E-2</v>
      </c>
      <c r="P173" s="38">
        <v>34.700000000000003</v>
      </c>
      <c r="Q173" s="35">
        <v>9.7916666666666666E-2</v>
      </c>
      <c r="W173" s="29" t="s">
        <v>106</v>
      </c>
      <c r="X173"/>
    </row>
    <row r="174" spans="2:24">
      <c r="B174" s="46" t="s">
        <v>310</v>
      </c>
      <c r="C174" s="25"/>
      <c r="D174" s="30" t="str">
        <f ca="1">IF($A$4="平日","9:29","9:24")</f>
        <v>9:24</v>
      </c>
      <c r="E174" s="30" t="str">
        <f ca="1">IF($A$4="平日","9:29","9:24")</f>
        <v>9:24</v>
      </c>
      <c r="F174" s="35">
        <v>0.48194444444444445</v>
      </c>
      <c r="G174" s="35">
        <v>0.48194444444444445</v>
      </c>
      <c r="H174" s="29" t="s">
        <v>37</v>
      </c>
      <c r="I174" s="37">
        <v>0.40208333333333335</v>
      </c>
      <c r="J174" s="29" t="s">
        <v>37</v>
      </c>
      <c r="K174" s="37">
        <v>0.47499999999999998</v>
      </c>
      <c r="L174" s="27" t="s">
        <v>108</v>
      </c>
      <c r="M174" s="30">
        <v>0.41111111111111109</v>
      </c>
      <c r="N174" s="37">
        <v>0.46805555555555556</v>
      </c>
      <c r="O174" s="37">
        <v>6.7361111111111108E-2</v>
      </c>
      <c r="P174" s="39">
        <v>31.8</v>
      </c>
      <c r="Q174" s="30">
        <v>7.2916666666666671E-2</v>
      </c>
      <c r="W174" s="29" t="s">
        <v>106</v>
      </c>
      <c r="X174"/>
    </row>
    <row r="175" spans="2:24">
      <c r="B175" s="46" t="s">
        <v>606</v>
      </c>
      <c r="C175" s="25"/>
      <c r="D175" s="35">
        <v>0.59861111111111109</v>
      </c>
      <c r="E175" s="35">
        <v>0.59861111111111109</v>
      </c>
      <c r="F175" s="35">
        <v>0.72083333333333333</v>
      </c>
      <c r="G175" s="35">
        <v>0.72083333333333333</v>
      </c>
      <c r="H175" s="29" t="s">
        <v>37</v>
      </c>
      <c r="I175" s="37">
        <v>0.60555555555555551</v>
      </c>
      <c r="J175" s="29" t="s">
        <v>52</v>
      </c>
      <c r="K175" s="37">
        <v>0.71388888888888891</v>
      </c>
      <c r="L175" s="27" t="s">
        <v>108</v>
      </c>
      <c r="M175" s="30">
        <v>0.61458333333333337</v>
      </c>
      <c r="N175" s="37">
        <v>0.70694444444444449</v>
      </c>
      <c r="O175" s="30">
        <v>9.7222222222222224E-2</v>
      </c>
      <c r="P175" s="38">
        <v>39.299999999999997</v>
      </c>
      <c r="Q175" s="35">
        <v>0.10347222222222222</v>
      </c>
      <c r="W175" s="29" t="s">
        <v>106</v>
      </c>
      <c r="X175"/>
    </row>
    <row r="176" spans="2:24">
      <c r="B176" s="46" t="s">
        <v>311</v>
      </c>
      <c r="C176" s="25"/>
      <c r="D176" s="35">
        <v>0.71180555555555558</v>
      </c>
      <c r="E176" s="35">
        <v>0.71180555555555558</v>
      </c>
      <c r="F176" s="35">
        <v>0.82499999999999996</v>
      </c>
      <c r="G176" s="35">
        <v>0.82500000000000007</v>
      </c>
      <c r="H176" s="29" t="s">
        <v>52</v>
      </c>
      <c r="I176" s="37">
        <v>0.71875</v>
      </c>
      <c r="J176" s="29" t="s">
        <v>37</v>
      </c>
      <c r="K176" s="37">
        <v>0.81805555555555554</v>
      </c>
      <c r="L176" s="27" t="s">
        <v>108</v>
      </c>
      <c r="M176" s="30">
        <v>0.72777777777777775</v>
      </c>
      <c r="N176" s="37">
        <v>0.81111111111111101</v>
      </c>
      <c r="O176" s="30">
        <v>8.611111111111111E-2</v>
      </c>
      <c r="P176" s="38">
        <v>35.299999999999997</v>
      </c>
      <c r="Q176" s="35">
        <v>9.4444444444444442E-2</v>
      </c>
      <c r="W176" s="29" t="s">
        <v>106</v>
      </c>
      <c r="X176"/>
    </row>
    <row r="177" spans="2:24">
      <c r="B177" s="46" t="s">
        <v>312</v>
      </c>
      <c r="C177" s="45"/>
      <c r="D177" s="30" t="str">
        <f ca="1">IF($A$4="平日","5:32","9:24")</f>
        <v>9:24</v>
      </c>
      <c r="E177" s="30" t="str">
        <f ca="1">IF($A$4="平日","5:32","9:24")</f>
        <v>9:24</v>
      </c>
      <c r="F177" s="30">
        <v>0.82500000000000007</v>
      </c>
      <c r="G177" s="30">
        <v>0.82500000000000007</v>
      </c>
      <c r="H177" s="29" t="s">
        <v>37</v>
      </c>
      <c r="I177" s="37" t="str">
        <f ca="1">IF($A$4="平日","5:47","9:39")</f>
        <v>9:39</v>
      </c>
      <c r="J177" s="29" t="s">
        <v>37</v>
      </c>
      <c r="K177" s="37">
        <v>0.81805555555555554</v>
      </c>
      <c r="L177" s="27" t="s">
        <v>108</v>
      </c>
      <c r="M177" s="30" t="str">
        <f ca="1">IF($A$4="平日","6:00","9:52")</f>
        <v>9:52</v>
      </c>
      <c r="N177" s="37">
        <v>0.81111111111111101</v>
      </c>
      <c r="O177" s="29" t="str">
        <f ca="1">IF($A$4="平日","8:16","6:04")</f>
        <v>6:04</v>
      </c>
      <c r="P177" s="39">
        <f ca="1">IF($A$4="平日",141.1,106.4)</f>
        <v>106.4</v>
      </c>
      <c r="Q177" s="29" t="str">
        <f ca="1">IF($A$4="平日","9:36","7:15")</f>
        <v>7:15</v>
      </c>
      <c r="S177" s="27" t="s">
        <v>313</v>
      </c>
      <c r="T177" s="27" t="s">
        <v>607</v>
      </c>
      <c r="W177" s="29" t="s">
        <v>106</v>
      </c>
      <c r="X177"/>
    </row>
    <row r="178" spans="2:24">
      <c r="B178" s="46" t="s">
        <v>314</v>
      </c>
      <c r="C178" s="25"/>
      <c r="D178" s="35">
        <v>0.33124999999999999</v>
      </c>
      <c r="E178" s="35">
        <v>0.33124999999999999</v>
      </c>
      <c r="F178" s="35">
        <v>0.39513888888888887</v>
      </c>
      <c r="G178" s="35">
        <v>0.39513888888888887</v>
      </c>
      <c r="H178" s="29" t="s">
        <v>37</v>
      </c>
      <c r="I178" s="37">
        <v>0.34166666666666667</v>
      </c>
      <c r="J178" s="29" t="s">
        <v>37</v>
      </c>
      <c r="K178" s="37">
        <v>0.38819444444444445</v>
      </c>
      <c r="L178" s="27" t="s">
        <v>160</v>
      </c>
      <c r="M178" s="30">
        <v>0.35069444444444442</v>
      </c>
      <c r="N178" s="37">
        <v>0.38124999999999998</v>
      </c>
      <c r="O178" s="30">
        <v>4.6527777777777779E-2</v>
      </c>
      <c r="P178" s="38">
        <v>16.3</v>
      </c>
      <c r="Q178" s="35">
        <v>4.6527777777777779E-2</v>
      </c>
      <c r="W178" s="29" t="s">
        <v>106</v>
      </c>
      <c r="X178"/>
    </row>
    <row r="179" spans="2:24">
      <c r="B179" s="46" t="s">
        <v>540</v>
      </c>
      <c r="C179" s="25"/>
      <c r="D179" s="35">
        <v>0.42708333333333331</v>
      </c>
      <c r="E179" s="35">
        <v>0.42708333333333331</v>
      </c>
      <c r="F179" s="35">
        <v>0.50069444444444444</v>
      </c>
      <c r="G179" s="35">
        <v>0.50069444444444444</v>
      </c>
      <c r="H179" s="29" t="s">
        <v>37</v>
      </c>
      <c r="I179" s="37">
        <v>0.43402777777777779</v>
      </c>
      <c r="J179" s="29" t="s">
        <v>37</v>
      </c>
      <c r="K179" s="37">
        <v>0.49375000000000002</v>
      </c>
      <c r="L179" s="27" t="s">
        <v>166</v>
      </c>
      <c r="M179" s="30">
        <v>0.43819444444444444</v>
      </c>
      <c r="N179" s="37">
        <v>0.49166666666666664</v>
      </c>
      <c r="O179" s="30">
        <v>5.9722222222222225E-2</v>
      </c>
      <c r="P179" s="38">
        <v>18.600000000000001</v>
      </c>
      <c r="Q179" s="35">
        <v>5.9722222222222225E-2</v>
      </c>
      <c r="W179" s="29" t="s">
        <v>106</v>
      </c>
      <c r="X179"/>
    </row>
    <row r="180" spans="2:24">
      <c r="B180" s="46" t="s">
        <v>608</v>
      </c>
      <c r="C180" s="25"/>
      <c r="D180" s="35">
        <v>0.5708333333333333</v>
      </c>
      <c r="E180" s="35">
        <v>0.5708333333333333</v>
      </c>
      <c r="F180" s="35">
        <v>0.67152777777777772</v>
      </c>
      <c r="G180" s="35">
        <v>0.67152777777777772</v>
      </c>
      <c r="H180" s="29" t="s">
        <v>37</v>
      </c>
      <c r="I180" s="37">
        <v>0.57777777777777772</v>
      </c>
      <c r="J180" s="29" t="s">
        <v>37</v>
      </c>
      <c r="K180" s="37">
        <v>0.6645833333333333</v>
      </c>
      <c r="L180" s="27">
        <v>1088</v>
      </c>
      <c r="M180" s="30">
        <v>0.57777777777777772</v>
      </c>
      <c r="N180" s="37">
        <v>0.6645833333333333</v>
      </c>
      <c r="O180" s="30">
        <v>7.8472222222222221E-2</v>
      </c>
      <c r="P180" s="38">
        <v>33.5</v>
      </c>
      <c r="Q180" s="35">
        <v>8.8888888888888892E-2</v>
      </c>
      <c r="W180" s="29" t="s">
        <v>106</v>
      </c>
      <c r="X180"/>
    </row>
    <row r="181" spans="2:24">
      <c r="B181" s="46" t="s">
        <v>609</v>
      </c>
      <c r="C181" s="25"/>
      <c r="D181" s="35">
        <v>0.69930555555555551</v>
      </c>
      <c r="E181" s="35">
        <v>0.69930555555555551</v>
      </c>
      <c r="F181" s="35">
        <v>0.81736111111111109</v>
      </c>
      <c r="G181" s="35">
        <v>0.81736111111111109</v>
      </c>
      <c r="H181" s="29" t="s">
        <v>37</v>
      </c>
      <c r="I181" s="37">
        <v>0.70625000000000004</v>
      </c>
      <c r="J181" s="29" t="s">
        <v>37</v>
      </c>
      <c r="K181" s="37">
        <v>0.81041666666666667</v>
      </c>
      <c r="L181" s="27">
        <v>1088</v>
      </c>
      <c r="M181" s="30">
        <v>0.71527777777777779</v>
      </c>
      <c r="N181" s="37">
        <v>0.80347222222222225</v>
      </c>
      <c r="O181" s="30">
        <v>9.4444444444444442E-2</v>
      </c>
      <c r="P181" s="38">
        <v>33</v>
      </c>
      <c r="Q181" s="35">
        <v>0.10416666666666667</v>
      </c>
      <c r="W181" s="29" t="s">
        <v>106</v>
      </c>
      <c r="X181"/>
    </row>
    <row r="182" spans="2:24">
      <c r="B182" s="46" t="s">
        <v>610</v>
      </c>
      <c r="C182" s="25"/>
      <c r="D182" s="35">
        <v>0.83611111111111114</v>
      </c>
      <c r="E182" s="35">
        <v>0.83611111111111114</v>
      </c>
      <c r="F182" s="35">
        <v>0.90138888888888891</v>
      </c>
      <c r="G182" s="35">
        <v>0.90138888888888891</v>
      </c>
      <c r="H182" s="29" t="s">
        <v>37</v>
      </c>
      <c r="I182" s="37">
        <v>0.84305555555555556</v>
      </c>
      <c r="J182" s="29" t="s">
        <v>53</v>
      </c>
      <c r="K182" s="37">
        <v>0.89444444444444449</v>
      </c>
      <c r="L182" s="27">
        <v>1088</v>
      </c>
      <c r="M182" s="30">
        <v>0.8520833333333333</v>
      </c>
      <c r="N182" s="37">
        <v>0.89444444444444449</v>
      </c>
      <c r="O182" s="30">
        <v>5.1388888888888887E-2</v>
      </c>
      <c r="P182" s="38">
        <v>20.9</v>
      </c>
      <c r="Q182" s="35">
        <v>5.1388888888888887E-2</v>
      </c>
      <c r="W182" s="29" t="s">
        <v>106</v>
      </c>
      <c r="X182"/>
    </row>
    <row r="183" spans="2:24">
      <c r="B183" s="46" t="s">
        <v>611</v>
      </c>
      <c r="C183" s="25"/>
      <c r="D183" s="35">
        <v>0.83611111111111114</v>
      </c>
      <c r="E183" s="35">
        <v>0.83611111111111114</v>
      </c>
      <c r="F183" s="35">
        <v>0.92569444444444449</v>
      </c>
      <c r="G183" s="35">
        <v>0.92569444444444449</v>
      </c>
      <c r="H183" s="29" t="s">
        <v>37</v>
      </c>
      <c r="I183" s="37">
        <v>0.84305555555555556</v>
      </c>
      <c r="J183" s="29" t="s">
        <v>37</v>
      </c>
      <c r="K183" s="37">
        <v>0.91874999999999996</v>
      </c>
      <c r="L183" s="27">
        <v>1088</v>
      </c>
      <c r="M183" s="30">
        <v>0.8520833333333333</v>
      </c>
      <c r="N183" s="37">
        <v>0.91874999999999996</v>
      </c>
      <c r="O183" s="30">
        <v>9.6527777777777782E-2</v>
      </c>
      <c r="P183" s="38">
        <v>35.5</v>
      </c>
      <c r="Q183" s="35">
        <v>9.6527777777777782E-2</v>
      </c>
      <c r="W183" s="29" t="s">
        <v>106</v>
      </c>
      <c r="X183"/>
    </row>
    <row r="184" spans="2:24">
      <c r="B184" s="46" t="s">
        <v>315</v>
      </c>
      <c r="C184" s="85"/>
      <c r="D184" s="30">
        <v>0.33124999999999999</v>
      </c>
      <c r="E184" s="30">
        <v>0.33124999999999999</v>
      </c>
      <c r="F184" s="35">
        <v>0.92569444444444449</v>
      </c>
      <c r="G184" s="35">
        <v>0.92569444444444449</v>
      </c>
      <c r="H184" s="29" t="s">
        <v>37</v>
      </c>
      <c r="I184" s="37">
        <v>0.34166666666666667</v>
      </c>
      <c r="J184" s="29" t="s">
        <v>37</v>
      </c>
      <c r="K184" s="37">
        <v>0.91874999999999996</v>
      </c>
      <c r="L184" s="15" t="s">
        <v>487</v>
      </c>
      <c r="M184" s="30">
        <v>0.35069444444444442</v>
      </c>
      <c r="N184" s="37">
        <v>0.91874999999999996</v>
      </c>
      <c r="O184" s="30">
        <v>0.35486111111111113</v>
      </c>
      <c r="P184" s="38">
        <v>136.9</v>
      </c>
      <c r="Q184" s="35">
        <v>0.3923611111111111</v>
      </c>
      <c r="W184" s="29" t="s">
        <v>106</v>
      </c>
      <c r="X184"/>
    </row>
    <row r="185" spans="2:24">
      <c r="B185" s="46" t="s">
        <v>316</v>
      </c>
      <c r="C185" s="45"/>
      <c r="D185" s="30">
        <v>0.33124999999999999</v>
      </c>
      <c r="E185" s="30">
        <v>0.33124999999999999</v>
      </c>
      <c r="F185" s="35">
        <v>0.90138888888888891</v>
      </c>
      <c r="G185" s="35">
        <v>0.90138888888888891</v>
      </c>
      <c r="H185" s="29" t="s">
        <v>37</v>
      </c>
      <c r="I185" s="37">
        <v>0.34166666666666667</v>
      </c>
      <c r="J185" s="29" t="s">
        <v>53</v>
      </c>
      <c r="K185" s="37">
        <v>0.89444444444444449</v>
      </c>
      <c r="L185" s="15" t="s">
        <v>487</v>
      </c>
      <c r="M185" s="30">
        <v>0.35069444444444442</v>
      </c>
      <c r="N185" s="37">
        <v>0.89444444444444449</v>
      </c>
      <c r="O185" s="30">
        <v>0.33055555555555555</v>
      </c>
      <c r="P185" s="38">
        <v>122.3</v>
      </c>
      <c r="Q185" s="35">
        <v>0.36805555555555558</v>
      </c>
      <c r="W185" s="29" t="s">
        <v>106</v>
      </c>
      <c r="X185"/>
    </row>
    <row r="186" spans="2:24">
      <c r="B186" s="46" t="s">
        <v>612</v>
      </c>
      <c r="C186" s="25"/>
      <c r="D186" s="35">
        <v>0.29375000000000001</v>
      </c>
      <c r="E186" s="35">
        <v>0.29375000000000001</v>
      </c>
      <c r="F186" s="35">
        <v>0.37152777777777779</v>
      </c>
      <c r="G186" s="35">
        <v>0.37152777777777779</v>
      </c>
      <c r="H186" s="29" t="s">
        <v>53</v>
      </c>
      <c r="I186" s="37">
        <v>0.30416666666666664</v>
      </c>
      <c r="J186" s="29" t="s">
        <v>37</v>
      </c>
      <c r="K186" s="37">
        <v>0.36458333333333331</v>
      </c>
      <c r="L186" s="27">
        <v>1088</v>
      </c>
      <c r="M186" s="30">
        <v>0.30416666666666664</v>
      </c>
      <c r="N186" s="37">
        <v>0.3576388888888889</v>
      </c>
      <c r="O186" s="30">
        <v>6.0416666666666667E-2</v>
      </c>
      <c r="P186" s="38">
        <v>20.9</v>
      </c>
      <c r="Q186" s="35">
        <v>6.0416666666666667E-2</v>
      </c>
      <c r="W186" s="29" t="s">
        <v>106</v>
      </c>
      <c r="X186"/>
    </row>
    <row r="187" spans="2:24">
      <c r="B187" s="46" t="s">
        <v>317</v>
      </c>
      <c r="C187" s="25"/>
      <c r="D187" s="35">
        <v>0.2673611111111111</v>
      </c>
      <c r="E187" s="35">
        <v>0.2673611111111111</v>
      </c>
      <c r="F187" s="35">
        <v>0.37152777777777779</v>
      </c>
      <c r="G187" s="35">
        <v>0.37152777777777779</v>
      </c>
      <c r="H187" s="29" t="s">
        <v>37</v>
      </c>
      <c r="I187" s="37">
        <v>0.27777777777777779</v>
      </c>
      <c r="J187" s="29" t="s">
        <v>37</v>
      </c>
      <c r="K187" s="37">
        <v>0.36458333333333331</v>
      </c>
      <c r="L187" s="27">
        <v>1088</v>
      </c>
      <c r="M187" s="37">
        <v>0.27777777777777779</v>
      </c>
      <c r="N187" s="37">
        <v>0.3576388888888889</v>
      </c>
      <c r="O187" s="30">
        <v>8.6805555555555552E-2</v>
      </c>
      <c r="P187" s="38">
        <v>35.5</v>
      </c>
      <c r="Q187" s="35">
        <v>8.6805555555555552E-2</v>
      </c>
      <c r="W187" s="29" t="s">
        <v>106</v>
      </c>
      <c r="X187"/>
    </row>
    <row r="188" spans="2:24">
      <c r="B188" s="46" t="s">
        <v>613</v>
      </c>
      <c r="C188" s="25"/>
      <c r="D188" s="35">
        <v>0.39861111111111114</v>
      </c>
      <c r="E188" s="35">
        <v>0.39861111111111114</v>
      </c>
      <c r="F188" s="35">
        <v>0.51111111111111107</v>
      </c>
      <c r="G188" s="35">
        <v>0.51111111111111107</v>
      </c>
      <c r="H188" s="29" t="s">
        <v>37</v>
      </c>
      <c r="I188" s="37">
        <v>0.40555555555555556</v>
      </c>
      <c r="J188" s="29" t="s">
        <v>37</v>
      </c>
      <c r="K188" s="37">
        <v>0.50416666666666665</v>
      </c>
      <c r="L188" s="27">
        <v>1088</v>
      </c>
      <c r="M188" s="30">
        <v>0.41458333333333336</v>
      </c>
      <c r="N188" s="37">
        <v>0.50416666666666665</v>
      </c>
      <c r="O188" s="30">
        <v>8.8888888888888892E-2</v>
      </c>
      <c r="P188" s="38">
        <v>37.5</v>
      </c>
      <c r="Q188" s="35">
        <v>9.8611111111111108E-2</v>
      </c>
      <c r="W188" s="29" t="s">
        <v>106</v>
      </c>
      <c r="X188"/>
    </row>
    <row r="189" spans="2:24">
      <c r="B189" s="46" t="s">
        <v>318</v>
      </c>
      <c r="C189" s="85"/>
      <c r="D189" s="35">
        <v>0.2673611111111111</v>
      </c>
      <c r="E189" s="35">
        <v>0.2673611111111111</v>
      </c>
      <c r="F189" s="35">
        <v>0.51111111111111107</v>
      </c>
      <c r="G189" s="35">
        <v>0.51111111111111107</v>
      </c>
      <c r="H189" s="29" t="s">
        <v>37</v>
      </c>
      <c r="I189" s="37">
        <v>0.27777777777777779</v>
      </c>
      <c r="J189" s="29" t="s">
        <v>37</v>
      </c>
      <c r="K189" s="37">
        <v>0.50416666666666665</v>
      </c>
      <c r="L189" s="27">
        <v>1088</v>
      </c>
      <c r="M189" s="37">
        <v>0.27777777777777779</v>
      </c>
      <c r="N189" s="37">
        <v>0.50416666666666665</v>
      </c>
      <c r="O189" s="30">
        <v>0.17569444444444443</v>
      </c>
      <c r="P189" s="38">
        <v>73.3</v>
      </c>
      <c r="Q189" s="35">
        <v>0.20277777777777778</v>
      </c>
      <c r="R189" s="30"/>
      <c r="W189" s="29" t="s">
        <v>106</v>
      </c>
      <c r="X189"/>
    </row>
    <row r="190" spans="2:24">
      <c r="B190" s="46" t="s">
        <v>319</v>
      </c>
      <c r="C190" s="45"/>
      <c r="D190" s="35">
        <v>0.29375000000000001</v>
      </c>
      <c r="E190" s="35">
        <v>0.29375000000000001</v>
      </c>
      <c r="F190" s="35">
        <v>0.51111111111111107</v>
      </c>
      <c r="G190" s="35">
        <v>0.51111111111111107</v>
      </c>
      <c r="H190" s="29" t="s">
        <v>53</v>
      </c>
      <c r="I190" s="37">
        <v>0.30416666666666664</v>
      </c>
      <c r="J190" s="29" t="s">
        <v>37</v>
      </c>
      <c r="K190" s="37">
        <v>0.50416666666666665</v>
      </c>
      <c r="L190" s="27">
        <v>1088</v>
      </c>
      <c r="M190" s="30">
        <v>0.30416666666666664</v>
      </c>
      <c r="N190" s="37">
        <v>0.50416666666666665</v>
      </c>
      <c r="O190" s="30">
        <v>0.14930555555555555</v>
      </c>
      <c r="P190" s="38">
        <v>58.7</v>
      </c>
      <c r="Q190" s="35">
        <v>0.1763888888888889</v>
      </c>
      <c r="R190" s="38">
        <v>122.3</v>
      </c>
      <c r="W190" s="29" t="s">
        <v>106</v>
      </c>
      <c r="X190"/>
    </row>
    <row r="191" spans="2:24">
      <c r="K191" s="36"/>
      <c r="W191" s="29"/>
      <c r="X191"/>
    </row>
    <row r="192" spans="2:24">
      <c r="B192" s="46" t="s">
        <v>320</v>
      </c>
      <c r="C192" s="46"/>
      <c r="D192" s="35">
        <v>0.30069444444444443</v>
      </c>
      <c r="E192" s="35">
        <v>0.30069444444444443</v>
      </c>
      <c r="F192" s="35">
        <v>0.40625</v>
      </c>
      <c r="G192" s="35">
        <v>0.40625</v>
      </c>
      <c r="H192" s="29" t="s">
        <v>37</v>
      </c>
      <c r="I192" s="37">
        <v>0.31111111111111112</v>
      </c>
      <c r="J192" s="29" t="s">
        <v>37</v>
      </c>
      <c r="K192" s="37">
        <v>0.39930555555555558</v>
      </c>
      <c r="L192" s="27" t="s">
        <v>113</v>
      </c>
      <c r="M192" s="30">
        <v>0.32013888888888886</v>
      </c>
      <c r="N192" s="37">
        <v>0.3923611111111111</v>
      </c>
      <c r="O192" s="30">
        <v>8.611111111111111E-2</v>
      </c>
      <c r="P192" s="38">
        <v>30.3</v>
      </c>
      <c r="Q192" s="35">
        <v>8.819444444444445E-2</v>
      </c>
      <c r="W192" s="29" t="s">
        <v>106</v>
      </c>
      <c r="X192"/>
    </row>
    <row r="193" spans="2:24">
      <c r="B193" s="46" t="s">
        <v>614</v>
      </c>
      <c r="C193" s="46"/>
      <c r="D193" s="35">
        <v>0.48194444444444445</v>
      </c>
      <c r="E193" s="35">
        <v>0.48194444444444445</v>
      </c>
      <c r="F193" s="35">
        <v>0.58819444444444446</v>
      </c>
      <c r="G193" s="35">
        <v>0.58819444444444446</v>
      </c>
      <c r="H193" s="29" t="s">
        <v>37</v>
      </c>
      <c r="I193" s="37">
        <v>0.48888888888888887</v>
      </c>
      <c r="J193" s="29" t="s">
        <v>37</v>
      </c>
      <c r="K193" s="37">
        <v>0.58125000000000004</v>
      </c>
      <c r="L193" s="27" t="s">
        <v>148</v>
      </c>
      <c r="M193" s="30">
        <v>0.49791666666666667</v>
      </c>
      <c r="N193" s="37">
        <v>0.57430555555555551</v>
      </c>
      <c r="O193" s="30">
        <v>8.611111111111111E-2</v>
      </c>
      <c r="P193" s="38">
        <v>37.799999999999997</v>
      </c>
      <c r="Q193" s="35">
        <v>9.2361111111111116E-2</v>
      </c>
      <c r="W193" s="29" t="s">
        <v>106</v>
      </c>
      <c r="X193"/>
    </row>
    <row r="194" spans="2:24">
      <c r="B194" s="46" t="s">
        <v>615</v>
      </c>
      <c r="C194" s="46"/>
      <c r="D194" s="35">
        <v>0.61597222222222225</v>
      </c>
      <c r="E194" s="35">
        <v>0.61597222222222225</v>
      </c>
      <c r="F194" s="35">
        <v>0.70208333333333328</v>
      </c>
      <c r="G194" s="35">
        <v>0.70208333333333328</v>
      </c>
      <c r="H194" s="29" t="s">
        <v>37</v>
      </c>
      <c r="I194" s="37">
        <v>0.62291666666666667</v>
      </c>
      <c r="J194" s="29" t="s">
        <v>37</v>
      </c>
      <c r="K194" s="37">
        <v>0.69513888888888886</v>
      </c>
      <c r="L194" s="27" t="s">
        <v>148</v>
      </c>
      <c r="M194" s="30">
        <v>0.63194444444444442</v>
      </c>
      <c r="N194" s="37">
        <v>0.68819444444444444</v>
      </c>
      <c r="O194" s="30">
        <v>6.7361111111111108E-2</v>
      </c>
      <c r="P194" s="38">
        <v>31.8</v>
      </c>
      <c r="Q194" s="35">
        <v>7.2222222222222215E-2</v>
      </c>
      <c r="W194" s="29" t="s">
        <v>106</v>
      </c>
      <c r="X194"/>
    </row>
    <row r="195" spans="2:24">
      <c r="B195" s="46" t="s">
        <v>321</v>
      </c>
      <c r="C195" s="46"/>
      <c r="D195" s="35">
        <v>0.72638888888888886</v>
      </c>
      <c r="E195" s="35">
        <v>0.72638888888888886</v>
      </c>
      <c r="F195" s="35">
        <v>0.84583333333333333</v>
      </c>
      <c r="G195" s="35">
        <v>0.84583333333333333</v>
      </c>
      <c r="H195" s="29" t="s">
        <v>37</v>
      </c>
      <c r="I195" s="37">
        <v>0.73333333333333328</v>
      </c>
      <c r="J195" s="29" t="s">
        <v>52</v>
      </c>
      <c r="K195" s="37">
        <v>0.83888888888888891</v>
      </c>
      <c r="L195" s="27" t="s">
        <v>148</v>
      </c>
      <c r="M195" s="30">
        <v>0.74236111111111114</v>
      </c>
      <c r="N195" s="37">
        <v>0.83194444444444449</v>
      </c>
      <c r="O195" s="30">
        <v>9.0972222222222218E-2</v>
      </c>
      <c r="P195" s="38">
        <v>40.299999999999997</v>
      </c>
      <c r="Q195" s="35">
        <v>0.10069444444444445</v>
      </c>
      <c r="W195" s="29" t="s">
        <v>106</v>
      </c>
      <c r="X195"/>
    </row>
    <row r="196" spans="2:24">
      <c r="B196" s="46" t="s">
        <v>322</v>
      </c>
      <c r="C196" s="46"/>
      <c r="D196" s="35">
        <v>0.83263888888888893</v>
      </c>
      <c r="E196" s="35">
        <v>0.83263888888888893</v>
      </c>
      <c r="F196" s="35">
        <v>0.89444444444444449</v>
      </c>
      <c r="G196" s="35">
        <v>0.89444444444444449</v>
      </c>
      <c r="H196" s="29" t="s">
        <v>52</v>
      </c>
      <c r="I196" s="37">
        <v>0.83958333333333335</v>
      </c>
      <c r="J196" s="29" t="s">
        <v>53</v>
      </c>
      <c r="K196" s="37">
        <v>0.88749999999999996</v>
      </c>
      <c r="L196" s="27" t="s">
        <v>148</v>
      </c>
      <c r="M196" s="30">
        <v>0.84861111111111109</v>
      </c>
      <c r="N196" s="37">
        <v>0.87847222222222221</v>
      </c>
      <c r="O196" s="30">
        <v>4.3055555555555555E-2</v>
      </c>
      <c r="P196" s="38">
        <v>19.3</v>
      </c>
      <c r="Q196" s="35">
        <v>4.3055555555555555E-2</v>
      </c>
      <c r="W196" s="29" t="s">
        <v>106</v>
      </c>
      <c r="X196"/>
    </row>
    <row r="197" spans="2:24">
      <c r="B197" s="46" t="s">
        <v>482</v>
      </c>
      <c r="C197" s="46"/>
      <c r="D197" s="35">
        <v>0.83263888888888893</v>
      </c>
      <c r="E197" s="35">
        <v>0.83263888888888893</v>
      </c>
      <c r="F197" s="35">
        <v>0.90625</v>
      </c>
      <c r="G197" s="35">
        <v>0.90625</v>
      </c>
      <c r="H197" s="29" t="s">
        <v>52</v>
      </c>
      <c r="I197" s="37">
        <v>0.83958333333333335</v>
      </c>
      <c r="J197" s="29" t="s">
        <v>37</v>
      </c>
      <c r="K197" s="37">
        <v>0.89930555555555558</v>
      </c>
      <c r="L197" s="27" t="s">
        <v>148</v>
      </c>
      <c r="M197" s="30">
        <v>0.84861111111111109</v>
      </c>
      <c r="N197" s="37">
        <v>0.89930555555555558</v>
      </c>
      <c r="O197" s="30">
        <v>5.486111111111111E-2</v>
      </c>
      <c r="P197" s="38">
        <v>26.3</v>
      </c>
      <c r="Q197" s="35">
        <v>5.486111111111111E-2</v>
      </c>
      <c r="W197" s="29" t="s">
        <v>106</v>
      </c>
      <c r="X197"/>
    </row>
    <row r="198" spans="2:24">
      <c r="B198" s="46" t="s">
        <v>323</v>
      </c>
      <c r="C198" s="85"/>
      <c r="D198" s="30" t="str">
        <f ca="1">IF($A$4="平日","7:13","11:34")</f>
        <v>11:34</v>
      </c>
      <c r="E198" s="30" t="str">
        <f ca="1">IF($A$4="平日","7:13","11:34")</f>
        <v>11:34</v>
      </c>
      <c r="F198" s="30">
        <v>0.90625</v>
      </c>
      <c r="G198" s="30">
        <v>0.90625</v>
      </c>
      <c r="H198" s="29" t="s">
        <v>37</v>
      </c>
      <c r="I198" s="30" t="str">
        <f ca="1">IF($A$4="平日","7:28","11:44")</f>
        <v>11:44</v>
      </c>
      <c r="J198" s="29" t="s">
        <v>37</v>
      </c>
      <c r="K198" s="37">
        <v>0.89930555555555558</v>
      </c>
      <c r="L198" s="29" t="str">
        <f ca="1">IF($A$4="平日","439    1075","1075")</f>
        <v>1075</v>
      </c>
      <c r="M198" s="30" t="str">
        <f ca="1">IF($A$4="平日","7:41","11:57")</f>
        <v>11:57</v>
      </c>
      <c r="N198" s="30">
        <v>0.89930555555555558</v>
      </c>
      <c r="O198" s="30" t="str">
        <f ca="1">IF($A$4="平日","9:15","7:11")</f>
        <v>7:11</v>
      </c>
      <c r="P198" s="39">
        <f ca="1">IF($A$4="平日",166.5,136.2)</f>
        <v>136.19999999999999</v>
      </c>
      <c r="Q198" s="30" t="str">
        <f ca="1">IF($A$4="平日","10:13","8:01")</f>
        <v>8:01</v>
      </c>
      <c r="W198" s="29" t="s">
        <v>106</v>
      </c>
      <c r="X198"/>
    </row>
    <row r="199" spans="2:24">
      <c r="B199" s="46" t="s">
        <v>324</v>
      </c>
      <c r="C199" s="45"/>
      <c r="D199" s="30" t="str">
        <f ca="1">IF($A$4="平日","7:13","11:34")</f>
        <v>11:34</v>
      </c>
      <c r="E199" s="30" t="str">
        <f ca="1">IF($A$4="平日","7:13","11:34")</f>
        <v>11:34</v>
      </c>
      <c r="F199" s="30">
        <v>0.89444444444444449</v>
      </c>
      <c r="G199" s="30">
        <v>0.89444444444444449</v>
      </c>
      <c r="H199" s="29" t="s">
        <v>37</v>
      </c>
      <c r="I199" s="30" t="str">
        <f ca="1">IF($A$4="平日","7:28","11:44")</f>
        <v>11:44</v>
      </c>
      <c r="J199" s="29" t="s">
        <v>53</v>
      </c>
      <c r="K199" s="37">
        <v>0.88749999999999996</v>
      </c>
      <c r="L199" s="29" t="str">
        <f ca="1">IF($A$4="平日","439    1075","1075")</f>
        <v>1075</v>
      </c>
      <c r="M199" s="30" t="str">
        <f ca="1">IF($A$4="平日","7:41","11:57")</f>
        <v>11:57</v>
      </c>
      <c r="N199" s="30">
        <v>0.87847222222222221</v>
      </c>
      <c r="O199" s="30" t="str">
        <f ca="1">IF($A$4="平日","8:58","6:54")</f>
        <v>6:54</v>
      </c>
      <c r="P199" s="39">
        <f ca="1">IF($A$4="平日",159.5,129.2)</f>
        <v>129.19999999999999</v>
      </c>
      <c r="Q199" s="30" t="str">
        <f ca="1">IF($A$4="平日","9:56","7:44")</f>
        <v>7:44</v>
      </c>
      <c r="W199" s="29" t="s">
        <v>106</v>
      </c>
      <c r="X199"/>
    </row>
    <row r="200" spans="2:24">
      <c r="B200" s="46" t="s">
        <v>434</v>
      </c>
      <c r="C200" s="46"/>
      <c r="D200" s="35">
        <v>0.28055555555555556</v>
      </c>
      <c r="E200" s="35">
        <v>0.28055555555555556</v>
      </c>
      <c r="F200" s="35">
        <v>0.35694444444444445</v>
      </c>
      <c r="G200" s="35">
        <v>0.35694444444444445</v>
      </c>
      <c r="H200" s="29" t="s">
        <v>53</v>
      </c>
      <c r="I200" s="37">
        <v>0.29097222222222224</v>
      </c>
      <c r="J200" s="29" t="s">
        <v>37</v>
      </c>
      <c r="K200" s="37">
        <v>0.35</v>
      </c>
      <c r="L200" s="27" t="s">
        <v>148</v>
      </c>
      <c r="M200" s="30">
        <v>0.30208333333333331</v>
      </c>
      <c r="N200" s="37">
        <v>0.34305555555555556</v>
      </c>
      <c r="O200" s="30">
        <v>5.9027777777777776E-2</v>
      </c>
      <c r="P200" s="38">
        <v>21.8</v>
      </c>
      <c r="Q200" s="35">
        <v>5.9027777777777776E-2</v>
      </c>
      <c r="W200" s="29" t="s">
        <v>106</v>
      </c>
      <c r="X200"/>
    </row>
    <row r="201" spans="2:24">
      <c r="B201" s="46" t="s">
        <v>325</v>
      </c>
      <c r="C201" s="46"/>
      <c r="D201" s="35">
        <v>0.26874999999999999</v>
      </c>
      <c r="E201" s="35">
        <v>0.26874999999999999</v>
      </c>
      <c r="F201" s="35">
        <v>0.35694444444444445</v>
      </c>
      <c r="G201" s="35">
        <v>0.35694444444444445</v>
      </c>
      <c r="H201" s="29" t="s">
        <v>37</v>
      </c>
      <c r="I201" s="37">
        <v>0.27916666666666667</v>
      </c>
      <c r="J201" s="29" t="s">
        <v>37</v>
      </c>
      <c r="K201" s="37">
        <v>0.35</v>
      </c>
      <c r="L201" s="27" t="s">
        <v>148</v>
      </c>
      <c r="M201" s="30">
        <v>0.27916666666666667</v>
      </c>
      <c r="N201" s="37">
        <v>0.34305555555555556</v>
      </c>
      <c r="O201" s="30">
        <v>7.0833333333333331E-2</v>
      </c>
      <c r="P201" s="38">
        <v>28.8</v>
      </c>
      <c r="Q201" s="35">
        <v>7.0833333333333331E-2</v>
      </c>
      <c r="W201" s="29" t="s">
        <v>106</v>
      </c>
      <c r="X201"/>
    </row>
    <row r="202" spans="2:24">
      <c r="B202" s="46" t="s">
        <v>326</v>
      </c>
      <c r="C202" s="46"/>
      <c r="D202" s="35">
        <v>0.36944444444444446</v>
      </c>
      <c r="E202" s="35">
        <v>0.36944444444444446</v>
      </c>
      <c r="F202" s="35">
        <v>0.46736111111111112</v>
      </c>
      <c r="G202" s="35">
        <v>0.46736111111111112</v>
      </c>
      <c r="H202" s="29" t="s">
        <v>37</v>
      </c>
      <c r="I202" s="37">
        <v>0.37638888888888888</v>
      </c>
      <c r="J202" s="29" t="s">
        <v>37</v>
      </c>
      <c r="K202" s="37">
        <v>0.46041666666666664</v>
      </c>
      <c r="L202" s="27" t="s">
        <v>148</v>
      </c>
      <c r="M202" s="30">
        <v>0.38541666666666669</v>
      </c>
      <c r="N202" s="37">
        <v>0.45347222222222222</v>
      </c>
      <c r="O202" s="30">
        <v>7.4305555555555555E-2</v>
      </c>
      <c r="P202" s="38">
        <v>30.3</v>
      </c>
      <c r="Q202" s="35">
        <v>8.4027777777777785E-2</v>
      </c>
      <c r="W202" s="29" t="s">
        <v>106</v>
      </c>
      <c r="X202"/>
    </row>
    <row r="203" spans="2:24">
      <c r="B203" s="46" t="s">
        <v>327</v>
      </c>
      <c r="C203" s="85"/>
      <c r="D203" s="35">
        <v>0.26874999999999999</v>
      </c>
      <c r="E203" s="35">
        <v>0.26874999999999999</v>
      </c>
      <c r="F203" s="35">
        <v>0.46736111111111112</v>
      </c>
      <c r="G203" s="35">
        <v>0.46736111111111112</v>
      </c>
      <c r="H203" s="29" t="s">
        <v>37</v>
      </c>
      <c r="I203" s="37">
        <v>0.27916666666666667</v>
      </c>
      <c r="J203" s="29" t="s">
        <v>37</v>
      </c>
      <c r="K203" s="37">
        <v>0.46041666666666664</v>
      </c>
      <c r="L203" s="27" t="s">
        <v>148</v>
      </c>
      <c r="M203" s="30">
        <v>0.30208333333333331</v>
      </c>
      <c r="N203" s="37">
        <v>0.45347222222222222</v>
      </c>
      <c r="O203" s="30">
        <v>0.1451388888888889</v>
      </c>
      <c r="P203" s="38">
        <v>59.1</v>
      </c>
      <c r="Q203" s="35">
        <v>0.16875000000000001</v>
      </c>
      <c r="S203" s="27"/>
      <c r="T203" s="27"/>
      <c r="W203" s="29" t="s">
        <v>106</v>
      </c>
      <c r="X203"/>
    </row>
    <row r="204" spans="2:24">
      <c r="B204" s="46" t="s">
        <v>328</v>
      </c>
      <c r="C204" s="45"/>
      <c r="D204" s="35">
        <v>0.28055555555555556</v>
      </c>
      <c r="E204" s="35">
        <v>0.28055555555555556</v>
      </c>
      <c r="F204" s="35">
        <v>0.46736111111111112</v>
      </c>
      <c r="G204" s="35">
        <v>0.46736111111111112</v>
      </c>
      <c r="H204" s="29" t="s">
        <v>53</v>
      </c>
      <c r="I204" s="37">
        <v>0.29097222222222224</v>
      </c>
      <c r="J204" s="29" t="s">
        <v>37</v>
      </c>
      <c r="K204" s="37">
        <v>0.46041666666666664</v>
      </c>
      <c r="L204" s="27" t="s">
        <v>148</v>
      </c>
      <c r="M204" s="30">
        <v>0.30208333333333331</v>
      </c>
      <c r="N204" s="37">
        <v>0.45347222222222222</v>
      </c>
      <c r="O204" s="30">
        <v>0.13333333333333333</v>
      </c>
      <c r="P204" s="38">
        <v>52.1</v>
      </c>
      <c r="Q204" s="35">
        <v>0.16041666666666668</v>
      </c>
      <c r="W204" s="29" t="s">
        <v>106</v>
      </c>
      <c r="X204"/>
    </row>
    <row r="205" spans="2:24">
      <c r="B205" s="46" t="s">
        <v>616</v>
      </c>
      <c r="C205" s="46"/>
      <c r="D205" s="35">
        <v>0.28611111111111109</v>
      </c>
      <c r="E205" s="35">
        <v>0.28611111111111109</v>
      </c>
      <c r="F205" s="35">
        <v>0.40277777777777779</v>
      </c>
      <c r="G205" s="35">
        <v>0.40277777777777779</v>
      </c>
      <c r="H205" s="29" t="s">
        <v>37</v>
      </c>
      <c r="I205" s="37">
        <v>0.29652777777777778</v>
      </c>
      <c r="J205" s="29" t="s">
        <v>37</v>
      </c>
      <c r="K205" s="37">
        <v>0.39583333333333331</v>
      </c>
      <c r="L205" s="27" t="s">
        <v>154</v>
      </c>
      <c r="M205" s="30">
        <v>0.30555555555555558</v>
      </c>
      <c r="N205" s="37">
        <v>0.3888888888888889</v>
      </c>
      <c r="O205" s="30">
        <v>9.0277777777777776E-2</v>
      </c>
      <c r="P205" s="38">
        <v>30.6</v>
      </c>
      <c r="Q205" s="35">
        <v>9.930555555555555E-2</v>
      </c>
      <c r="W205" s="29" t="s">
        <v>106</v>
      </c>
      <c r="X205"/>
    </row>
    <row r="206" spans="2:24">
      <c r="B206" s="46" t="s">
        <v>617</v>
      </c>
      <c r="C206" s="46"/>
      <c r="D206" s="35">
        <v>0.50972222222222219</v>
      </c>
      <c r="E206" s="35">
        <v>0.50972222222222219</v>
      </c>
      <c r="F206" s="35">
        <v>0.62222222222222223</v>
      </c>
      <c r="G206" s="35">
        <v>0.62222222222222223</v>
      </c>
      <c r="H206" s="29" t="s">
        <v>37</v>
      </c>
      <c r="I206" s="37">
        <v>0.51666666666666672</v>
      </c>
      <c r="J206" s="29" t="s">
        <v>37</v>
      </c>
      <c r="K206" s="37">
        <v>0.61527777777777781</v>
      </c>
      <c r="L206" s="27" t="s">
        <v>154</v>
      </c>
      <c r="M206" s="30">
        <v>0.52569444444444446</v>
      </c>
      <c r="N206" s="37">
        <v>0.61527777777777781</v>
      </c>
      <c r="O206" s="30">
        <v>8.9583333333333334E-2</v>
      </c>
      <c r="P206" s="38">
        <v>34.700000000000003</v>
      </c>
      <c r="Q206" s="35">
        <v>9.8611111111111108E-2</v>
      </c>
      <c r="W206" s="29" t="s">
        <v>106</v>
      </c>
      <c r="X206"/>
    </row>
    <row r="207" spans="2:24">
      <c r="B207" s="46" t="s">
        <v>329</v>
      </c>
      <c r="C207" s="46"/>
      <c r="D207" s="35">
        <v>0.65763888888888888</v>
      </c>
      <c r="E207" s="35">
        <v>0.65763888888888888</v>
      </c>
      <c r="F207" s="35">
        <v>0.75624999999999998</v>
      </c>
      <c r="G207" s="35">
        <v>0.75624999999999998</v>
      </c>
      <c r="H207" s="29" t="s">
        <v>37</v>
      </c>
      <c r="I207" s="37">
        <v>0.6645833333333333</v>
      </c>
      <c r="J207" s="29" t="s">
        <v>52</v>
      </c>
      <c r="K207" s="37">
        <v>0.74930555555555556</v>
      </c>
      <c r="L207" s="27" t="s">
        <v>154</v>
      </c>
      <c r="M207" s="30">
        <v>0.67361111111111116</v>
      </c>
      <c r="N207" s="37">
        <v>0.74236111111111114</v>
      </c>
      <c r="O207" s="30">
        <v>7.3611111111111113E-2</v>
      </c>
      <c r="P207" s="38">
        <v>30.5</v>
      </c>
      <c r="Q207" s="35">
        <v>7.9861111111111105E-2</v>
      </c>
      <c r="W207" s="29" t="s">
        <v>106</v>
      </c>
      <c r="X207"/>
    </row>
    <row r="208" spans="2:24">
      <c r="B208" s="46" t="s">
        <v>618</v>
      </c>
      <c r="C208" s="46"/>
      <c r="D208" s="35">
        <v>0.74652777777777779</v>
      </c>
      <c r="E208" s="35">
        <v>0.74652777777777779</v>
      </c>
      <c r="F208" s="35">
        <v>0.84236111111111112</v>
      </c>
      <c r="G208" s="35">
        <v>0.84236111111111112</v>
      </c>
      <c r="H208" s="29" t="s">
        <v>52</v>
      </c>
      <c r="I208" s="37">
        <v>0.75347222222222221</v>
      </c>
      <c r="J208" s="29" t="s">
        <v>37</v>
      </c>
      <c r="K208" s="37">
        <v>0.8354166666666667</v>
      </c>
      <c r="L208" s="27" t="s">
        <v>154</v>
      </c>
      <c r="M208" s="30">
        <v>0.76249999999999996</v>
      </c>
      <c r="N208" s="37">
        <v>0.82847222222222228</v>
      </c>
      <c r="O208" s="30">
        <v>7.1527777777777773E-2</v>
      </c>
      <c r="P208" s="38">
        <v>27.8</v>
      </c>
      <c r="Q208" s="35">
        <v>7.7083333333333337E-2</v>
      </c>
      <c r="R208" s="27"/>
      <c r="W208" s="29" t="s">
        <v>106</v>
      </c>
      <c r="X208"/>
    </row>
    <row r="209" spans="2:24">
      <c r="B209" s="46" t="s">
        <v>330</v>
      </c>
      <c r="C209" s="45"/>
      <c r="D209" s="30">
        <v>0.28611111111111109</v>
      </c>
      <c r="E209" s="30">
        <v>0.28611111111111109</v>
      </c>
      <c r="F209" s="30">
        <v>0.84236111111111112</v>
      </c>
      <c r="G209" s="30">
        <v>0.84236111111111112</v>
      </c>
      <c r="H209" s="29" t="s">
        <v>37</v>
      </c>
      <c r="I209" s="30">
        <v>0.29652777777777778</v>
      </c>
      <c r="J209" s="29" t="s">
        <v>37</v>
      </c>
      <c r="K209" s="37">
        <v>0.8354166666666667</v>
      </c>
      <c r="L209" s="27" t="s">
        <v>154</v>
      </c>
      <c r="M209" s="30">
        <v>0.30555555555555558</v>
      </c>
      <c r="N209" s="30">
        <v>0.82847222222222228</v>
      </c>
      <c r="O209" s="30">
        <v>0.32500000000000001</v>
      </c>
      <c r="P209" s="38">
        <v>123.6</v>
      </c>
      <c r="Q209" s="30">
        <v>0.37222222222222223</v>
      </c>
      <c r="R209" s="27"/>
      <c r="W209" s="29" t="s">
        <v>106</v>
      </c>
      <c r="X209"/>
    </row>
    <row r="210" spans="2:24">
      <c r="B210" s="46" t="s">
        <v>619</v>
      </c>
      <c r="C210" s="46"/>
      <c r="D210" s="35">
        <v>0.26111111111111113</v>
      </c>
      <c r="E210" s="35">
        <v>0.26111111111111113</v>
      </c>
      <c r="F210" s="35">
        <v>0.36388888888888887</v>
      </c>
      <c r="G210" s="35">
        <v>0.36388888888888887</v>
      </c>
      <c r="H210" s="29" t="s">
        <v>37</v>
      </c>
      <c r="I210" s="37">
        <v>0.27152777777777776</v>
      </c>
      <c r="J210" s="29" t="s">
        <v>37</v>
      </c>
      <c r="K210" s="37">
        <v>0.35694444444444445</v>
      </c>
      <c r="L210" s="27" t="s">
        <v>64</v>
      </c>
      <c r="M210" s="30">
        <v>0.28055555555555556</v>
      </c>
      <c r="N210" s="37">
        <v>0.35</v>
      </c>
      <c r="O210" s="30">
        <v>8.1250000000000003E-2</v>
      </c>
      <c r="P210" s="38">
        <v>33</v>
      </c>
      <c r="Q210" s="35">
        <v>8.5416666666666669E-2</v>
      </c>
      <c r="W210" s="29" t="s">
        <v>106</v>
      </c>
      <c r="X210"/>
    </row>
    <row r="211" spans="2:24">
      <c r="B211" s="46" t="s">
        <v>620</v>
      </c>
      <c r="C211" s="46"/>
      <c r="D211" s="35">
        <v>0.41041666666666665</v>
      </c>
      <c r="E211" s="35">
        <v>0.41041666666666665</v>
      </c>
      <c r="F211" s="35">
        <v>0.49375000000000002</v>
      </c>
      <c r="G211" s="35">
        <v>0.49375000000000002</v>
      </c>
      <c r="H211" s="29" t="s">
        <v>37</v>
      </c>
      <c r="I211" s="37">
        <v>0.41736111111111113</v>
      </c>
      <c r="J211" s="29" t="s">
        <v>37</v>
      </c>
      <c r="K211" s="37">
        <v>0.48680555555555555</v>
      </c>
      <c r="L211" s="27" t="s">
        <v>64</v>
      </c>
      <c r="M211" s="30">
        <v>0.42638888888888887</v>
      </c>
      <c r="N211" s="37">
        <v>0.47986111111111113</v>
      </c>
      <c r="O211" s="30">
        <v>6.3194444444444442E-2</v>
      </c>
      <c r="P211" s="38">
        <v>25</v>
      </c>
      <c r="Q211" s="35">
        <v>6.9444444444444448E-2</v>
      </c>
      <c r="W211" s="29" t="s">
        <v>106</v>
      </c>
      <c r="X211"/>
    </row>
    <row r="212" spans="2:24">
      <c r="B212" s="46" t="s">
        <v>331</v>
      </c>
      <c r="C212" s="46"/>
      <c r="D212" s="30">
        <v>0.52569444444444446</v>
      </c>
      <c r="E212" s="30">
        <v>0.52569444444444446</v>
      </c>
      <c r="F212" s="35">
        <v>0.63749999999999996</v>
      </c>
      <c r="G212" s="35">
        <v>0.63749999999999996</v>
      </c>
      <c r="H212" s="29" t="s">
        <v>37</v>
      </c>
      <c r="I212" s="37">
        <v>0.53263888888888888</v>
      </c>
      <c r="J212" s="29" t="s">
        <v>37</v>
      </c>
      <c r="K212" s="37">
        <v>0.63055555555555554</v>
      </c>
      <c r="L212" s="27" t="s">
        <v>64</v>
      </c>
      <c r="M212" s="30">
        <v>0.54166666666666663</v>
      </c>
      <c r="N212" s="37">
        <v>0.62361111111111112</v>
      </c>
      <c r="O212" s="30">
        <v>9.2361111111111116E-2</v>
      </c>
      <c r="P212" s="38">
        <v>42.8</v>
      </c>
      <c r="Q212" s="30">
        <v>9.7916666666666666E-2</v>
      </c>
      <c r="W212" s="29" t="s">
        <v>106</v>
      </c>
      <c r="X212"/>
    </row>
    <row r="213" spans="2:24">
      <c r="B213" s="46" t="s">
        <v>332</v>
      </c>
      <c r="C213" s="46"/>
      <c r="D213" s="35">
        <v>0.67013888888888884</v>
      </c>
      <c r="E213" s="35">
        <v>0.67013888888888884</v>
      </c>
      <c r="F213" s="35">
        <v>0.77361111111111114</v>
      </c>
      <c r="G213" s="35">
        <v>0.77361111111111114</v>
      </c>
      <c r="H213" s="29" t="s">
        <v>37</v>
      </c>
      <c r="I213" s="37">
        <v>0.67708333333333337</v>
      </c>
      <c r="J213" s="29" t="s">
        <v>52</v>
      </c>
      <c r="K213" s="37">
        <v>0.76666666666666672</v>
      </c>
      <c r="L213" s="27" t="s">
        <v>64</v>
      </c>
      <c r="M213" s="30">
        <v>0.68611111111111112</v>
      </c>
      <c r="N213" s="37">
        <v>0.75972222222222219</v>
      </c>
      <c r="O213" s="30">
        <v>7.5694444444444439E-2</v>
      </c>
      <c r="P213" s="38">
        <v>28.1</v>
      </c>
      <c r="Q213" s="35">
        <v>8.4722222222222227E-2</v>
      </c>
      <c r="W213" s="29" t="s">
        <v>106</v>
      </c>
      <c r="X213"/>
    </row>
    <row r="214" spans="2:24">
      <c r="B214" s="46" t="s">
        <v>621</v>
      </c>
      <c r="C214" s="46"/>
      <c r="D214" s="35">
        <v>0.76597222222222228</v>
      </c>
      <c r="E214" s="35">
        <v>0.76597222222222228</v>
      </c>
      <c r="F214" s="35">
        <v>0.86111111111111116</v>
      </c>
      <c r="G214" s="35">
        <v>0.86111111111111116</v>
      </c>
      <c r="H214" s="29" t="s">
        <v>52</v>
      </c>
      <c r="I214" s="37">
        <v>0.7729166666666667</v>
      </c>
      <c r="J214" s="29" t="s">
        <v>37</v>
      </c>
      <c r="K214" s="37">
        <v>0.85416666666666663</v>
      </c>
      <c r="L214" s="27" t="s">
        <v>64</v>
      </c>
      <c r="M214" s="30">
        <v>0.78194444444444444</v>
      </c>
      <c r="N214" s="37">
        <v>0.84722222222222221</v>
      </c>
      <c r="O214" s="30">
        <v>7.2222222222222215E-2</v>
      </c>
      <c r="P214" s="38">
        <v>30.5</v>
      </c>
      <c r="Q214" s="35">
        <v>8.0555555555555561E-2</v>
      </c>
      <c r="W214" s="29" t="s">
        <v>106</v>
      </c>
      <c r="X214"/>
    </row>
    <row r="215" spans="2:24">
      <c r="B215" s="46" t="s">
        <v>333</v>
      </c>
      <c r="C215" s="45"/>
      <c r="D215" s="30">
        <v>0.26111111111111113</v>
      </c>
      <c r="E215" s="30">
        <v>0.26111111111111113</v>
      </c>
      <c r="F215" s="35">
        <v>0.86111111111111116</v>
      </c>
      <c r="G215" s="35">
        <v>0.86111111111111116</v>
      </c>
      <c r="H215" s="29" t="s">
        <v>37</v>
      </c>
      <c r="I215" s="37">
        <v>0.27152777777777776</v>
      </c>
      <c r="J215" s="29" t="s">
        <v>37</v>
      </c>
      <c r="K215" s="37">
        <v>0.85416666666666663</v>
      </c>
      <c r="L215" s="27" t="s">
        <v>64</v>
      </c>
      <c r="M215" s="30">
        <v>0.28055555555555556</v>
      </c>
      <c r="N215" s="37">
        <v>0.84722222222222221</v>
      </c>
      <c r="O215" s="30">
        <v>0.38472222222222224</v>
      </c>
      <c r="P215" s="38">
        <v>159.4</v>
      </c>
      <c r="Q215" s="30">
        <v>0.43125000000000002</v>
      </c>
      <c r="R215" s="38"/>
      <c r="W215" s="29" t="s">
        <v>106</v>
      </c>
      <c r="X215"/>
    </row>
    <row r="216" spans="2:24">
      <c r="B216" s="46" t="s">
        <v>334</v>
      </c>
      <c r="C216" s="45"/>
      <c r="D216" s="30">
        <v>0.29375000000000001</v>
      </c>
      <c r="E216" s="30">
        <v>0.29375000000000001</v>
      </c>
      <c r="F216" s="35">
        <v>0.42291666666666666</v>
      </c>
      <c r="G216" s="35">
        <v>0.42291666666666666</v>
      </c>
      <c r="H216" s="29" t="s">
        <v>37</v>
      </c>
      <c r="I216" s="37">
        <v>0.30416666666666664</v>
      </c>
      <c r="J216" s="29" t="s">
        <v>37</v>
      </c>
      <c r="K216" s="37">
        <v>0.41597222222222224</v>
      </c>
      <c r="L216" s="27" t="s">
        <v>153</v>
      </c>
      <c r="M216" s="30">
        <v>0.31319444444444444</v>
      </c>
      <c r="N216" s="37">
        <v>0.40902777777777777</v>
      </c>
      <c r="O216" s="30">
        <v>0.10208333333333333</v>
      </c>
      <c r="P216" s="38">
        <v>34.1</v>
      </c>
      <c r="Q216" s="30">
        <v>0.12916666666666668</v>
      </c>
      <c r="R216" s="38">
        <v>159.4</v>
      </c>
      <c r="W216" s="29" t="s">
        <v>106</v>
      </c>
      <c r="X216"/>
    </row>
    <row r="217" spans="2:24">
      <c r="B217" s="46"/>
      <c r="C217" s="45"/>
      <c r="D217" s="30"/>
      <c r="E217" s="30"/>
      <c r="H217" s="29"/>
      <c r="I217" s="37"/>
      <c r="J217" s="29"/>
      <c r="K217" s="37"/>
      <c r="L217" s="27"/>
      <c r="M217" s="30"/>
      <c r="N217" s="37"/>
      <c r="O217" s="30"/>
      <c r="P217" s="38"/>
      <c r="Q217" s="30"/>
      <c r="R217" s="38"/>
      <c r="W217" s="29"/>
      <c r="X217"/>
    </row>
    <row r="218" spans="2:24">
      <c r="B218" s="46" t="s">
        <v>622</v>
      </c>
      <c r="C218" s="46"/>
      <c r="D218" s="35">
        <v>0.25694444444444442</v>
      </c>
      <c r="E218" s="35">
        <v>0.25694444444444442</v>
      </c>
      <c r="F218" s="35">
        <v>0.35416666666666669</v>
      </c>
      <c r="G218" s="35">
        <v>0.35416666666666669</v>
      </c>
      <c r="H218" s="29" t="s">
        <v>37</v>
      </c>
      <c r="I218" s="37">
        <v>0.2673611111111111</v>
      </c>
      <c r="J218" s="29" t="s">
        <v>37</v>
      </c>
      <c r="K218" s="37">
        <v>0.34722222222222221</v>
      </c>
      <c r="L218" s="27" t="s">
        <v>172</v>
      </c>
      <c r="M218" s="30">
        <v>0.27152777777777776</v>
      </c>
      <c r="N218" s="37">
        <v>0.34513888888888888</v>
      </c>
      <c r="O218" s="30">
        <v>7.6388888888888895E-2</v>
      </c>
      <c r="P218" s="38">
        <v>30.6</v>
      </c>
      <c r="Q218" s="35">
        <v>7.9861111111111105E-2</v>
      </c>
      <c r="W218" s="29" t="s">
        <v>106</v>
      </c>
      <c r="X218"/>
    </row>
    <row r="219" spans="2:24">
      <c r="B219" s="46" t="s">
        <v>335</v>
      </c>
      <c r="C219" s="46"/>
      <c r="D219" s="35">
        <v>0.40902777777777777</v>
      </c>
      <c r="E219" s="35">
        <v>0.40902777777777777</v>
      </c>
      <c r="F219" s="35">
        <v>0.52083333333333337</v>
      </c>
      <c r="G219" s="35">
        <v>0.52083333333333337</v>
      </c>
      <c r="H219" s="29" t="s">
        <v>37</v>
      </c>
      <c r="I219" s="37">
        <v>0.41597222222222224</v>
      </c>
      <c r="J219" s="29" t="s">
        <v>37</v>
      </c>
      <c r="K219" s="37">
        <v>0.51388888888888884</v>
      </c>
      <c r="L219" s="27" t="s">
        <v>172</v>
      </c>
      <c r="M219" s="30">
        <v>0.42499999999999999</v>
      </c>
      <c r="N219" s="37">
        <v>0.50694444444444442</v>
      </c>
      <c r="O219" s="30">
        <v>9.2361111111111116E-2</v>
      </c>
      <c r="P219" s="38">
        <v>42.8</v>
      </c>
      <c r="Q219" s="35">
        <v>9.7916666666666666E-2</v>
      </c>
      <c r="W219" s="29" t="s">
        <v>106</v>
      </c>
      <c r="X219"/>
    </row>
    <row r="220" spans="2:24">
      <c r="B220" s="46" t="s">
        <v>541</v>
      </c>
      <c r="C220" s="46"/>
      <c r="D220" s="35">
        <v>0.53263888888888888</v>
      </c>
      <c r="E220" s="35">
        <v>0.53263888888888888</v>
      </c>
      <c r="F220" s="35">
        <v>0.60624999999999996</v>
      </c>
      <c r="G220" s="35">
        <v>0.60624999999999996</v>
      </c>
      <c r="H220" s="29" t="s">
        <v>37</v>
      </c>
      <c r="I220" s="37">
        <v>0.5395833333333333</v>
      </c>
      <c r="J220" s="29" t="s">
        <v>37</v>
      </c>
      <c r="K220" s="37">
        <v>0.59930555555555554</v>
      </c>
      <c r="L220" s="27" t="s">
        <v>62</v>
      </c>
      <c r="M220" s="30">
        <v>0.54374999999999996</v>
      </c>
      <c r="N220" s="37">
        <v>0.59722222222222221</v>
      </c>
      <c r="O220" s="30">
        <v>5.9722222222222225E-2</v>
      </c>
      <c r="P220" s="38">
        <v>18.600000000000001</v>
      </c>
      <c r="Q220" s="35">
        <v>5.9722222222222225E-2</v>
      </c>
      <c r="W220" s="29" t="s">
        <v>106</v>
      </c>
      <c r="X220"/>
    </row>
    <row r="221" spans="2:24">
      <c r="B221" s="46" t="s">
        <v>490</v>
      </c>
      <c r="C221" s="46"/>
      <c r="D221" s="35">
        <v>0.67291666666666672</v>
      </c>
      <c r="E221" s="35">
        <v>0.67291666666666672</v>
      </c>
      <c r="F221" s="35">
        <v>0.77708333333333335</v>
      </c>
      <c r="G221" s="35">
        <v>0.77708333333333335</v>
      </c>
      <c r="H221" s="29" t="s">
        <v>37</v>
      </c>
      <c r="I221" s="37">
        <v>0.67986111111111114</v>
      </c>
      <c r="J221" s="29" t="s">
        <v>52</v>
      </c>
      <c r="K221" s="37">
        <v>0.77013888888888893</v>
      </c>
      <c r="L221" s="27" t="s">
        <v>155</v>
      </c>
      <c r="M221" s="30">
        <v>0.68888888888888888</v>
      </c>
      <c r="N221" s="37">
        <v>0.7631944444444444</v>
      </c>
      <c r="O221" s="30">
        <v>7.5694444444444439E-2</v>
      </c>
      <c r="P221" s="38">
        <v>26.9</v>
      </c>
      <c r="Q221" s="35">
        <v>8.5416666666666669E-2</v>
      </c>
      <c r="W221" s="29" t="s">
        <v>106</v>
      </c>
      <c r="X221"/>
    </row>
    <row r="222" spans="2:24">
      <c r="B222" s="46" t="s">
        <v>336</v>
      </c>
      <c r="C222" s="46"/>
      <c r="D222" s="35">
        <v>0.78611111111111109</v>
      </c>
      <c r="E222" s="35">
        <v>0.78611111111111109</v>
      </c>
      <c r="F222" s="35">
        <v>0.85069444444444442</v>
      </c>
      <c r="G222" s="35">
        <v>0.85069444444444442</v>
      </c>
      <c r="H222" s="29" t="s">
        <v>52</v>
      </c>
      <c r="I222" s="37">
        <v>0.79305555555555551</v>
      </c>
      <c r="J222" s="29" t="s">
        <v>53</v>
      </c>
      <c r="K222" s="37">
        <v>0.84375</v>
      </c>
      <c r="L222" s="27" t="s">
        <v>155</v>
      </c>
      <c r="M222" s="30">
        <v>0.80208333333333337</v>
      </c>
      <c r="N222" s="37">
        <v>0.83472222222222225</v>
      </c>
      <c r="O222" s="30">
        <v>4.583333333333333E-2</v>
      </c>
      <c r="P222" s="38">
        <v>19.3</v>
      </c>
      <c r="Q222" s="35">
        <v>4.583333333333333E-2</v>
      </c>
      <c r="W222" s="29" t="s">
        <v>106</v>
      </c>
      <c r="X222"/>
    </row>
    <row r="223" spans="2:24">
      <c r="B223" s="46" t="s">
        <v>337</v>
      </c>
      <c r="C223" s="46"/>
      <c r="D223" s="35">
        <v>0.78611111111111109</v>
      </c>
      <c r="E223" s="35">
        <v>0.78611111111111109</v>
      </c>
      <c r="F223" s="35">
        <v>0.86250000000000004</v>
      </c>
      <c r="G223" s="35">
        <v>0.86250000000000004</v>
      </c>
      <c r="H223" s="29" t="s">
        <v>52</v>
      </c>
      <c r="I223" s="37">
        <v>0.79305555555555551</v>
      </c>
      <c r="J223" s="29" t="s">
        <v>37</v>
      </c>
      <c r="K223" s="37">
        <v>0.85555555555555551</v>
      </c>
      <c r="L223" s="27" t="s">
        <v>155</v>
      </c>
      <c r="M223" s="30">
        <v>0.80208333333333337</v>
      </c>
      <c r="N223" s="37">
        <v>0.85555555555555551</v>
      </c>
      <c r="O223" s="30">
        <v>5.7638888888888892E-2</v>
      </c>
      <c r="P223" s="38">
        <v>26.3</v>
      </c>
      <c r="Q223" s="35">
        <v>5.7638888888888892E-2</v>
      </c>
      <c r="S223" s="27"/>
      <c r="T223" s="27"/>
      <c r="W223" s="29" t="s">
        <v>106</v>
      </c>
      <c r="X223"/>
    </row>
    <row r="224" spans="2:24">
      <c r="B224" s="46" t="s">
        <v>338</v>
      </c>
      <c r="C224" s="85"/>
      <c r="D224" s="35">
        <v>0.25694444444444442</v>
      </c>
      <c r="E224" s="35">
        <v>0.25694444444444442</v>
      </c>
      <c r="F224" s="35">
        <v>0.86250000000000004</v>
      </c>
      <c r="G224" s="35">
        <v>0.86250000000000004</v>
      </c>
      <c r="H224" s="29" t="s">
        <v>37</v>
      </c>
      <c r="I224" s="37">
        <v>0.2673611111111111</v>
      </c>
      <c r="J224" s="29" t="s">
        <v>37</v>
      </c>
      <c r="K224" s="37">
        <v>0.85555555555555551</v>
      </c>
      <c r="L224" s="27" t="s">
        <v>339</v>
      </c>
      <c r="M224" s="30">
        <v>0.27152777777777776</v>
      </c>
      <c r="N224" s="37">
        <v>0.85555555555555551</v>
      </c>
      <c r="O224" s="30">
        <v>0.36180555555555555</v>
      </c>
      <c r="P224" s="38">
        <v>145.19999999999999</v>
      </c>
      <c r="Q224" s="35">
        <v>0.39791666666666664</v>
      </c>
      <c r="W224" s="29" t="s">
        <v>106</v>
      </c>
      <c r="X224"/>
    </row>
    <row r="225" spans="2:24">
      <c r="B225" s="46" t="s">
        <v>340</v>
      </c>
      <c r="C225" s="45"/>
      <c r="D225" s="35">
        <v>0.25694444444444442</v>
      </c>
      <c r="E225" s="35">
        <v>0.25694444444444442</v>
      </c>
      <c r="F225" s="35">
        <v>0.85069444444444442</v>
      </c>
      <c r="G225" s="35">
        <v>0.85069444444444442</v>
      </c>
      <c r="H225" s="29" t="s">
        <v>37</v>
      </c>
      <c r="I225" s="37">
        <v>0.2673611111111111</v>
      </c>
      <c r="J225" s="29" t="s">
        <v>53</v>
      </c>
      <c r="K225" s="37">
        <v>0.84375</v>
      </c>
      <c r="L225" s="27" t="s">
        <v>339</v>
      </c>
      <c r="M225" s="30">
        <v>0.27152777777777776</v>
      </c>
      <c r="N225" s="37">
        <v>0.83472222222222225</v>
      </c>
      <c r="O225" s="30">
        <v>0.35</v>
      </c>
      <c r="P225" s="38">
        <v>138.19999999999999</v>
      </c>
      <c r="Q225" s="35">
        <v>0.38611111111111113</v>
      </c>
      <c r="W225" s="29" t="s">
        <v>106</v>
      </c>
      <c r="X225"/>
    </row>
    <row r="226" spans="2:24">
      <c r="B226" s="46" t="s">
        <v>341</v>
      </c>
      <c r="C226" s="46"/>
      <c r="D226" s="35">
        <v>0.26666666666666666</v>
      </c>
      <c r="E226" s="35">
        <v>0.26666666666666666</v>
      </c>
      <c r="F226" s="35">
        <v>0.33819444444444446</v>
      </c>
      <c r="G226" s="35">
        <v>0.33819444444444446</v>
      </c>
      <c r="H226" s="29" t="s">
        <v>53</v>
      </c>
      <c r="I226" s="37">
        <v>0.27708333333333335</v>
      </c>
      <c r="J226" s="29" t="s">
        <v>52</v>
      </c>
      <c r="K226" s="37">
        <v>0.33124999999999999</v>
      </c>
      <c r="L226" s="27" t="s">
        <v>155</v>
      </c>
      <c r="M226" s="30">
        <v>0.28819444444444442</v>
      </c>
      <c r="N226" s="37">
        <v>0.32430555555555557</v>
      </c>
      <c r="O226" s="30">
        <v>4.9305555555555554E-2</v>
      </c>
      <c r="P226" s="38">
        <v>19.3</v>
      </c>
      <c r="Q226" s="35">
        <v>4.9305555555555554E-2</v>
      </c>
      <c r="W226" s="29" t="s">
        <v>106</v>
      </c>
      <c r="X226"/>
    </row>
    <row r="227" spans="2:24">
      <c r="B227" s="46" t="s">
        <v>342</v>
      </c>
      <c r="C227" s="46"/>
      <c r="D227" s="35">
        <v>0.25486111111111109</v>
      </c>
      <c r="E227" s="35">
        <v>0.25486111111111109</v>
      </c>
      <c r="F227" s="35">
        <v>0.33819444444444446</v>
      </c>
      <c r="G227" s="35">
        <v>0.33819444444444446</v>
      </c>
      <c r="H227" s="29" t="s">
        <v>37</v>
      </c>
      <c r="I227" s="37">
        <v>0.26527777777777778</v>
      </c>
      <c r="J227" s="29" t="s">
        <v>52</v>
      </c>
      <c r="K227" s="37">
        <v>0.33124999999999999</v>
      </c>
      <c r="L227" s="27" t="s">
        <v>155</v>
      </c>
      <c r="M227" s="30">
        <v>0.26527777777777778</v>
      </c>
      <c r="N227" s="37">
        <v>0.32430555555555557</v>
      </c>
      <c r="O227" s="30">
        <v>6.1111111111111109E-2</v>
      </c>
      <c r="P227" s="38">
        <v>26.3</v>
      </c>
      <c r="Q227" s="35">
        <v>6.1111111111111109E-2</v>
      </c>
      <c r="W227" s="29" t="s">
        <v>106</v>
      </c>
      <c r="X227"/>
    </row>
    <row r="228" spans="2:24">
      <c r="B228" s="46" t="s">
        <v>623</v>
      </c>
      <c r="C228" s="46"/>
      <c r="D228" s="35">
        <v>0.3347222222222222</v>
      </c>
      <c r="E228" s="35">
        <v>0.3347222222222222</v>
      </c>
      <c r="F228" s="35">
        <v>0.42638888888888887</v>
      </c>
      <c r="G228" s="35">
        <v>0.42638888888888887</v>
      </c>
      <c r="H228" s="29" t="s">
        <v>52</v>
      </c>
      <c r="I228" s="37">
        <v>0.34166666666666667</v>
      </c>
      <c r="J228" s="29" t="s">
        <v>37</v>
      </c>
      <c r="K228" s="37">
        <v>0.41944444444444445</v>
      </c>
      <c r="L228" s="27" t="s">
        <v>155</v>
      </c>
      <c r="M228" s="30">
        <v>0.35069444444444442</v>
      </c>
      <c r="N228" s="37">
        <v>0.41249999999999998</v>
      </c>
      <c r="O228" s="30">
        <v>6.805555555555555E-2</v>
      </c>
      <c r="P228" s="38">
        <v>29.3</v>
      </c>
      <c r="Q228" s="35">
        <v>7.2916666666666671E-2</v>
      </c>
      <c r="W228" s="29" t="s">
        <v>106</v>
      </c>
      <c r="X228"/>
    </row>
    <row r="229" spans="2:24">
      <c r="B229" s="46" t="s">
        <v>343</v>
      </c>
      <c r="C229" s="85"/>
      <c r="D229" s="35">
        <v>0.25486111111111109</v>
      </c>
      <c r="E229" s="35">
        <v>0.25486111111111109</v>
      </c>
      <c r="F229" s="35">
        <v>0.42638888888888887</v>
      </c>
      <c r="G229" s="35">
        <v>0.42638888888888887</v>
      </c>
      <c r="H229" s="29" t="s">
        <v>37</v>
      </c>
      <c r="I229" s="37">
        <v>0.26527777777777778</v>
      </c>
      <c r="J229" s="29" t="s">
        <v>37</v>
      </c>
      <c r="K229" s="37">
        <v>0.41944444444444445</v>
      </c>
      <c r="L229" s="27" t="s">
        <v>155</v>
      </c>
      <c r="M229" s="30">
        <v>0.26527777777777778</v>
      </c>
      <c r="N229" s="37">
        <v>0.41249999999999998</v>
      </c>
      <c r="O229" s="30">
        <v>0.12916666666666668</v>
      </c>
      <c r="P229" s="38">
        <v>55.6</v>
      </c>
      <c r="Q229" s="35">
        <v>0.15138888888888888</v>
      </c>
      <c r="W229" s="29" t="s">
        <v>106</v>
      </c>
      <c r="X229"/>
    </row>
    <row r="230" spans="2:24">
      <c r="B230" s="46" t="s">
        <v>344</v>
      </c>
      <c r="C230" s="45"/>
      <c r="D230" s="35">
        <v>0.26666666666666666</v>
      </c>
      <c r="E230" s="35">
        <v>0.26666666666666666</v>
      </c>
      <c r="F230" s="35">
        <v>0.42638888888888887</v>
      </c>
      <c r="G230" s="35">
        <v>0.42638888888888887</v>
      </c>
      <c r="H230" s="29" t="s">
        <v>53</v>
      </c>
      <c r="I230" s="37">
        <v>0.27708333333333335</v>
      </c>
      <c r="J230" s="29" t="s">
        <v>37</v>
      </c>
      <c r="K230" s="37">
        <v>0.41944444444444445</v>
      </c>
      <c r="L230" s="27" t="s">
        <v>155</v>
      </c>
      <c r="M230" s="30">
        <v>0.28819444444444442</v>
      </c>
      <c r="N230" s="37">
        <v>0.41249999999999998</v>
      </c>
      <c r="O230" s="30">
        <v>0.11736111111111111</v>
      </c>
      <c r="P230" s="38">
        <v>48.6</v>
      </c>
      <c r="Q230" s="35">
        <v>0.13958333333333334</v>
      </c>
      <c r="W230" s="29" t="s">
        <v>106</v>
      </c>
      <c r="X230"/>
    </row>
    <row r="231" spans="2:24">
      <c r="B231" s="46" t="s">
        <v>624</v>
      </c>
      <c r="C231" s="46"/>
      <c r="D231" s="35">
        <v>0.23472222222222222</v>
      </c>
      <c r="E231" s="35">
        <v>0.23472222222222222</v>
      </c>
      <c r="F231" s="35">
        <v>0.35694444444444445</v>
      </c>
      <c r="G231" s="35">
        <v>0.35694444444444445</v>
      </c>
      <c r="H231" s="29" t="s">
        <v>37</v>
      </c>
      <c r="I231" s="37">
        <v>0.24513888888888888</v>
      </c>
      <c r="J231" s="29" t="s">
        <v>52</v>
      </c>
      <c r="K231" s="37">
        <v>0.35</v>
      </c>
      <c r="L231" s="27" t="s">
        <v>156</v>
      </c>
      <c r="M231" s="30">
        <v>0.25416666666666665</v>
      </c>
      <c r="N231" s="37">
        <v>0.34305555555555556</v>
      </c>
      <c r="O231" s="30">
        <v>9.6527777777777782E-2</v>
      </c>
      <c r="P231" s="38">
        <v>36.700000000000003</v>
      </c>
      <c r="Q231" s="35">
        <v>0.1</v>
      </c>
      <c r="W231" s="29" t="s">
        <v>106</v>
      </c>
      <c r="X231"/>
    </row>
    <row r="232" spans="2:24">
      <c r="B232" s="46" t="s">
        <v>491</v>
      </c>
      <c r="C232" s="46"/>
      <c r="D232" s="30" t="str">
        <f ca="1">IF($A$4="平日","8:41","8:36")</f>
        <v>8:36</v>
      </c>
      <c r="E232" s="30" t="str">
        <f ca="1">IF($A$4="平日","8:41","8:36")</f>
        <v>8:36</v>
      </c>
      <c r="F232" s="35">
        <v>0.46736111111111112</v>
      </c>
      <c r="G232" s="35">
        <v>0.46736111111111112</v>
      </c>
      <c r="H232" s="30" t="str">
        <f ca="1">IF($A$4="平日","北    浜","本    社")</f>
        <v>本    社</v>
      </c>
      <c r="I232" s="37">
        <v>0.36875000000000002</v>
      </c>
      <c r="J232" s="29" t="s">
        <v>37</v>
      </c>
      <c r="K232" s="37">
        <v>0.46041666666666664</v>
      </c>
      <c r="L232" s="27" t="s">
        <v>156</v>
      </c>
      <c r="M232" s="30">
        <v>0.37777777777777777</v>
      </c>
      <c r="N232" s="37">
        <v>0.45347222222222222</v>
      </c>
      <c r="O232" s="30" t="str">
        <f ca="1">IF($A$4="平日","1:53","2:00")</f>
        <v>2:00</v>
      </c>
      <c r="P232" s="38">
        <f ca="1">IF($A$4="平日",30.5,33)</f>
        <v>33</v>
      </c>
      <c r="Q232" s="30" t="str">
        <f ca="1">IF($A$4="平日","2:05","2:12")</f>
        <v>2:12</v>
      </c>
      <c r="W232" s="29" t="s">
        <v>106</v>
      </c>
      <c r="X232"/>
    </row>
    <row r="233" spans="2:24">
      <c r="B233" s="46" t="s">
        <v>492</v>
      </c>
      <c r="C233" s="46"/>
      <c r="D233" s="35">
        <v>0.62638888888888888</v>
      </c>
      <c r="E233" s="35">
        <v>0.62638888888888888</v>
      </c>
      <c r="F233" s="35">
        <v>0.73263888888888884</v>
      </c>
      <c r="G233" s="35">
        <v>0.73263888888888884</v>
      </c>
      <c r="H233" s="29" t="s">
        <v>37</v>
      </c>
      <c r="I233" s="37">
        <v>0.6333333333333333</v>
      </c>
      <c r="J233" s="29" t="s">
        <v>52</v>
      </c>
      <c r="K233" s="37">
        <v>0.72569444444444442</v>
      </c>
      <c r="L233" s="27" t="s">
        <v>156</v>
      </c>
      <c r="M233" s="30">
        <v>0.64236111111111116</v>
      </c>
      <c r="N233" s="37">
        <v>0.71875</v>
      </c>
      <c r="O233" s="30">
        <v>7.9166666666666663E-2</v>
      </c>
      <c r="P233" s="38">
        <v>30.5</v>
      </c>
      <c r="Q233" s="35">
        <v>8.7499999999999994E-2</v>
      </c>
      <c r="W233" s="29" t="s">
        <v>106</v>
      </c>
      <c r="X233"/>
    </row>
    <row r="234" spans="2:24">
      <c r="B234" s="46" t="s">
        <v>345</v>
      </c>
      <c r="C234" s="46"/>
      <c r="D234" s="35">
        <v>0.74236111111111114</v>
      </c>
      <c r="E234" s="35">
        <v>0.74236111111111114</v>
      </c>
      <c r="F234" s="35">
        <v>0.8520833333333333</v>
      </c>
      <c r="G234" s="35">
        <v>0.8520833333333333</v>
      </c>
      <c r="H234" s="29" t="s">
        <v>52</v>
      </c>
      <c r="I234" s="37">
        <v>0.74930555555555556</v>
      </c>
      <c r="J234" s="29" t="s">
        <v>37</v>
      </c>
      <c r="K234" s="37">
        <v>0.84513888888888888</v>
      </c>
      <c r="L234" s="27" t="s">
        <v>156</v>
      </c>
      <c r="M234" s="30">
        <v>0.7583333333333333</v>
      </c>
      <c r="N234" s="37">
        <v>0.83819444444444446</v>
      </c>
      <c r="O234" s="30">
        <v>8.3333333333333329E-2</v>
      </c>
      <c r="P234" s="38">
        <v>35.299999999999997</v>
      </c>
      <c r="Q234" s="35">
        <v>9.0972222222222218E-2</v>
      </c>
      <c r="R234" s="38"/>
      <c r="W234" s="29" t="s">
        <v>106</v>
      </c>
      <c r="X234"/>
    </row>
    <row r="235" spans="2:24">
      <c r="B235" s="46" t="s">
        <v>346</v>
      </c>
      <c r="C235" s="45"/>
      <c r="D235" s="30" t="str">
        <f ca="1">IF($A$4="平日","5:38","8:36")</f>
        <v>8:36</v>
      </c>
      <c r="E235" s="30" t="str">
        <f ca="1">IF($A$4="平日","5:38","8:36")</f>
        <v>8:36</v>
      </c>
      <c r="F235" s="35">
        <v>0.8520833333333333</v>
      </c>
      <c r="G235" s="35">
        <v>0.8520833333333333</v>
      </c>
      <c r="H235" s="29" t="s">
        <v>37</v>
      </c>
      <c r="I235" s="30" t="str">
        <f ca="1">IF($A$4="平日","5:53","8:51")</f>
        <v>8:51</v>
      </c>
      <c r="J235" s="29" t="s">
        <v>37</v>
      </c>
      <c r="K235" s="37">
        <v>0.84513888888888888</v>
      </c>
      <c r="L235" s="27" t="s">
        <v>156</v>
      </c>
      <c r="M235" s="30" t="str">
        <f ca="1">IF($A$4="平日","6:06","9:04")</f>
        <v>9:04</v>
      </c>
      <c r="N235" s="37">
        <v>0.83819444444444446</v>
      </c>
      <c r="O235" s="30" t="str">
        <f ca="1">IF($A$4="平日","8:06","5:54")</f>
        <v>5:54</v>
      </c>
      <c r="P235" s="38">
        <f ca="1">IF($A$4="平日",133,98.8)</f>
        <v>98.8</v>
      </c>
      <c r="Q235" s="30" t="str">
        <f ca="1">IF($A$4="平日","9:31","7:14")</f>
        <v>7:14</v>
      </c>
      <c r="S235" s="27" t="s">
        <v>493</v>
      </c>
      <c r="T235" s="27" t="s">
        <v>347</v>
      </c>
      <c r="W235" s="29" t="s">
        <v>106</v>
      </c>
      <c r="X235"/>
    </row>
    <row r="236" spans="2:24">
      <c r="B236" s="46" t="s">
        <v>500</v>
      </c>
      <c r="C236" s="46"/>
      <c r="D236" s="35">
        <v>0.24027777777777778</v>
      </c>
      <c r="E236" s="35">
        <v>0.24027777777777778</v>
      </c>
      <c r="F236" s="35">
        <v>0.3659722222222222</v>
      </c>
      <c r="G236" s="35">
        <v>0.3659722222222222</v>
      </c>
      <c r="H236" s="29" t="s">
        <v>37</v>
      </c>
      <c r="I236" s="37">
        <v>0.25069444444444444</v>
      </c>
      <c r="J236" s="29" t="s">
        <v>37</v>
      </c>
      <c r="K236" s="37">
        <v>0.35902777777777778</v>
      </c>
      <c r="L236" s="27" t="s">
        <v>173</v>
      </c>
      <c r="M236" s="30">
        <v>0.25972222222222224</v>
      </c>
      <c r="N236" s="37">
        <v>0.35208333333333336</v>
      </c>
      <c r="O236" s="30">
        <v>9.7222222222222224E-2</v>
      </c>
      <c r="P236" s="38">
        <v>34.700000000000003</v>
      </c>
      <c r="Q236" s="35">
        <v>9.7222222222222224E-2</v>
      </c>
      <c r="W236" s="29" t="s">
        <v>106</v>
      </c>
      <c r="X236"/>
    </row>
    <row r="237" spans="2:24">
      <c r="B237" s="46" t="s">
        <v>494</v>
      </c>
      <c r="C237" s="46"/>
      <c r="D237" s="35">
        <v>0.41944444444444445</v>
      </c>
      <c r="E237" s="35">
        <v>0.41944444444444445</v>
      </c>
      <c r="F237" s="35">
        <v>0.51875000000000004</v>
      </c>
      <c r="G237" s="35">
        <v>0.51875000000000004</v>
      </c>
      <c r="H237" s="29" t="s">
        <v>37</v>
      </c>
      <c r="I237" s="37">
        <v>0.42638888888888887</v>
      </c>
      <c r="J237" s="29" t="s">
        <v>37</v>
      </c>
      <c r="K237" s="37">
        <v>0.51180555555555551</v>
      </c>
      <c r="L237" s="27" t="s">
        <v>173</v>
      </c>
      <c r="M237" s="30">
        <v>0.43541666666666667</v>
      </c>
      <c r="N237" s="37">
        <v>0.50486111111111109</v>
      </c>
      <c r="O237" s="30">
        <v>7.7083333333333337E-2</v>
      </c>
      <c r="P237" s="38">
        <v>29.4</v>
      </c>
      <c r="Q237" s="35">
        <v>8.5416666666666669E-2</v>
      </c>
      <c r="R237" s="30"/>
      <c r="W237" s="29" t="s">
        <v>106</v>
      </c>
      <c r="X237"/>
    </row>
    <row r="238" spans="2:24">
      <c r="B238" s="46" t="s">
        <v>625</v>
      </c>
      <c r="C238" s="46"/>
      <c r="D238" s="35">
        <v>0.53541666666666665</v>
      </c>
      <c r="E238" s="35">
        <v>0.53541666666666665</v>
      </c>
      <c r="F238" s="35">
        <v>0.61875000000000002</v>
      </c>
      <c r="G238" s="35">
        <v>0.61875000000000002</v>
      </c>
      <c r="H238" s="29" t="s">
        <v>37</v>
      </c>
      <c r="I238" s="37">
        <v>0.54236111111111107</v>
      </c>
      <c r="J238" s="29" t="s">
        <v>37</v>
      </c>
      <c r="K238" s="37">
        <v>0.6118055555555556</v>
      </c>
      <c r="L238" s="27" t="s">
        <v>157</v>
      </c>
      <c r="M238" s="30">
        <v>0.55138888888888893</v>
      </c>
      <c r="N238" s="37">
        <v>0.60486111111111107</v>
      </c>
      <c r="O238" s="30">
        <v>6.3194444444444442E-2</v>
      </c>
      <c r="P238" s="38">
        <v>25</v>
      </c>
      <c r="Q238" s="35">
        <v>6.9444444444444448E-2</v>
      </c>
      <c r="W238" s="29" t="s">
        <v>106</v>
      </c>
      <c r="X238"/>
    </row>
    <row r="239" spans="2:24">
      <c r="B239" s="46" t="s">
        <v>348</v>
      </c>
      <c r="C239" s="46"/>
      <c r="D239" s="35">
        <v>0.65069444444444446</v>
      </c>
      <c r="E239" s="35">
        <v>0.65069444444444446</v>
      </c>
      <c r="F239" s="35">
        <v>0.73819444444444449</v>
      </c>
      <c r="G239" s="35">
        <v>0.73819444444444449</v>
      </c>
      <c r="H239" s="29" t="s">
        <v>37</v>
      </c>
      <c r="I239" s="37">
        <v>0.65763888888888888</v>
      </c>
      <c r="J239" s="29" t="s">
        <v>37</v>
      </c>
      <c r="K239" s="37">
        <v>0.73124999999999996</v>
      </c>
      <c r="L239" s="27" t="s">
        <v>157</v>
      </c>
      <c r="M239" s="30">
        <v>0.66666666666666663</v>
      </c>
      <c r="N239" s="37">
        <v>0.72430555555555554</v>
      </c>
      <c r="O239" s="30">
        <v>6.7361111111111108E-2</v>
      </c>
      <c r="P239" s="38">
        <v>23.8</v>
      </c>
      <c r="Q239" s="35">
        <v>7.3611111111111113E-2</v>
      </c>
      <c r="W239" s="29" t="s">
        <v>106</v>
      </c>
      <c r="X239"/>
    </row>
    <row r="240" spans="2:24">
      <c r="B240" s="46" t="s">
        <v>349</v>
      </c>
      <c r="C240" s="46"/>
      <c r="D240" s="35">
        <v>0.75138888888888888</v>
      </c>
      <c r="E240" s="35">
        <v>0.75138888888888888</v>
      </c>
      <c r="F240" s="35">
        <v>0.82430555555555551</v>
      </c>
      <c r="G240" s="35">
        <v>0.82430555555555551</v>
      </c>
      <c r="H240" s="29" t="s">
        <v>37</v>
      </c>
      <c r="I240" s="37">
        <v>0.7583333333333333</v>
      </c>
      <c r="J240" s="29" t="s">
        <v>53</v>
      </c>
      <c r="K240" s="37">
        <v>0.81736111111111109</v>
      </c>
      <c r="L240" s="27" t="s">
        <v>157</v>
      </c>
      <c r="M240" s="30">
        <v>0.76736111111111116</v>
      </c>
      <c r="N240" s="37">
        <v>0.81736111111111109</v>
      </c>
      <c r="O240" s="30">
        <v>5.9027777777777776E-2</v>
      </c>
      <c r="P240" s="38">
        <v>20.9</v>
      </c>
      <c r="Q240" s="35">
        <v>5.9027777777777776E-2</v>
      </c>
      <c r="W240" s="29" t="s">
        <v>106</v>
      </c>
      <c r="X240"/>
    </row>
    <row r="241" spans="2:24">
      <c r="B241" s="46" t="s">
        <v>350</v>
      </c>
      <c r="C241" s="46"/>
      <c r="D241" s="35">
        <v>0.75138888888888899</v>
      </c>
      <c r="E241" s="35">
        <v>0.75138888888888899</v>
      </c>
      <c r="F241" s="35">
        <v>0.84861111111111109</v>
      </c>
      <c r="G241" s="35">
        <v>0.84861111111111109</v>
      </c>
      <c r="H241" s="29" t="s">
        <v>37</v>
      </c>
      <c r="I241" s="37">
        <v>0.7583333333333333</v>
      </c>
      <c r="J241" s="29" t="s">
        <v>37</v>
      </c>
      <c r="K241" s="37">
        <v>0.84166666666666667</v>
      </c>
      <c r="L241" s="27" t="s">
        <v>157</v>
      </c>
      <c r="M241" s="30">
        <v>0.76736111111111116</v>
      </c>
      <c r="N241" s="37">
        <v>0.84166666666666667</v>
      </c>
      <c r="O241" s="30">
        <v>8.3333333333333329E-2</v>
      </c>
      <c r="P241" s="38">
        <v>35.5</v>
      </c>
      <c r="Q241" s="35">
        <v>8.3333333333333329E-2</v>
      </c>
      <c r="W241" s="29" t="s">
        <v>106</v>
      </c>
      <c r="X241"/>
    </row>
    <row r="242" spans="2:24">
      <c r="B242" s="46" t="s">
        <v>351</v>
      </c>
      <c r="C242" s="85"/>
      <c r="D242" s="35">
        <v>0.24027777777777778</v>
      </c>
      <c r="E242" s="35">
        <v>0.24027777777777778</v>
      </c>
      <c r="F242" s="35">
        <v>0.84861111111111109</v>
      </c>
      <c r="G242" s="35">
        <v>0.84861111111111109</v>
      </c>
      <c r="H242" s="29" t="s">
        <v>37</v>
      </c>
      <c r="I242" s="37">
        <v>0.25069444444444444</v>
      </c>
      <c r="J242" s="29" t="s">
        <v>37</v>
      </c>
      <c r="K242" s="37">
        <v>0.84166666666666667</v>
      </c>
      <c r="L242" s="27" t="s">
        <v>352</v>
      </c>
      <c r="M242" s="30">
        <v>0.25972222222222224</v>
      </c>
      <c r="N242" s="37">
        <v>0.84166666666666667</v>
      </c>
      <c r="O242" s="30">
        <v>0.38819444444444445</v>
      </c>
      <c r="P242" s="38">
        <v>148.4</v>
      </c>
      <c r="Q242" s="35">
        <v>0.42638888888888887</v>
      </c>
      <c r="W242" s="29" t="s">
        <v>106</v>
      </c>
      <c r="X242"/>
    </row>
    <row r="243" spans="2:24">
      <c r="B243" s="46" t="s">
        <v>353</v>
      </c>
      <c r="C243" s="45"/>
      <c r="D243" s="35">
        <v>0.24027777777777778</v>
      </c>
      <c r="E243" s="35">
        <v>0.24027777777777778</v>
      </c>
      <c r="F243" s="35">
        <v>0.82430555555555551</v>
      </c>
      <c r="G243" s="35">
        <v>0.82430555555555551</v>
      </c>
      <c r="H243" s="29" t="s">
        <v>37</v>
      </c>
      <c r="I243" s="37">
        <v>0.25069444444444444</v>
      </c>
      <c r="J243" s="29" t="s">
        <v>53</v>
      </c>
      <c r="K243" s="37">
        <v>0.81736111111111109</v>
      </c>
      <c r="L243" s="27" t="s">
        <v>352</v>
      </c>
      <c r="M243" s="30">
        <v>0.25972222222222224</v>
      </c>
      <c r="N243" s="37">
        <v>0.81736111111111109</v>
      </c>
      <c r="O243" s="30">
        <v>0.36388888888888887</v>
      </c>
      <c r="P243" s="38">
        <v>133.80000000000001</v>
      </c>
      <c r="Q243" s="35">
        <v>0.40208333333333335</v>
      </c>
      <c r="W243" s="29" t="s">
        <v>106</v>
      </c>
      <c r="X243"/>
    </row>
    <row r="244" spans="2:24">
      <c r="B244" s="46" t="s">
        <v>354</v>
      </c>
      <c r="C244" s="46"/>
      <c r="D244" s="35">
        <v>0.26874999999999999</v>
      </c>
      <c r="E244" s="35">
        <v>0.26874999999999999</v>
      </c>
      <c r="F244" s="35">
        <v>0.33888888888888891</v>
      </c>
      <c r="G244" s="35">
        <v>0.33888888888888891</v>
      </c>
      <c r="H244" s="29" t="s">
        <v>53</v>
      </c>
      <c r="I244" s="37">
        <v>0.27916666666666667</v>
      </c>
      <c r="J244" s="29" t="s">
        <v>37</v>
      </c>
      <c r="K244" s="37">
        <v>0.33194444444444443</v>
      </c>
      <c r="L244" s="27" t="s">
        <v>157</v>
      </c>
      <c r="M244" s="30">
        <v>0.27916666666666667</v>
      </c>
      <c r="N244" s="37">
        <v>0.32500000000000001</v>
      </c>
      <c r="O244" s="30">
        <v>5.2777777777777778E-2</v>
      </c>
      <c r="P244" s="38">
        <v>21.4</v>
      </c>
      <c r="Q244" s="35">
        <v>5.2777777777777778E-2</v>
      </c>
      <c r="W244" s="29" t="s">
        <v>106</v>
      </c>
      <c r="X244"/>
    </row>
    <row r="245" spans="2:24">
      <c r="B245" s="46" t="s">
        <v>355</v>
      </c>
      <c r="C245" s="46"/>
      <c r="D245" s="35">
        <v>0.24236111111111111</v>
      </c>
      <c r="E245" s="35">
        <v>0.24236111111111111</v>
      </c>
      <c r="F245" s="35">
        <v>0.33888888888888891</v>
      </c>
      <c r="G245" s="35">
        <v>0.33888888888888891</v>
      </c>
      <c r="H245" s="29" t="s">
        <v>37</v>
      </c>
      <c r="I245" s="37">
        <v>0.25277777777777777</v>
      </c>
      <c r="J245" s="29" t="s">
        <v>37</v>
      </c>
      <c r="K245" s="37">
        <v>0.33194444444444443</v>
      </c>
      <c r="L245" s="27" t="s">
        <v>157</v>
      </c>
      <c r="M245" s="30">
        <v>0.25277777777777777</v>
      </c>
      <c r="N245" s="37">
        <v>0.32500000000000001</v>
      </c>
      <c r="O245" s="30">
        <v>7.9166666666666663E-2</v>
      </c>
      <c r="P245" s="38">
        <v>36</v>
      </c>
      <c r="Q245" s="35">
        <v>7.9166666666666663E-2</v>
      </c>
      <c r="W245" s="29" t="s">
        <v>106</v>
      </c>
      <c r="X245"/>
    </row>
    <row r="246" spans="2:24">
      <c r="B246" s="46" t="s">
        <v>626</v>
      </c>
      <c r="C246" s="46"/>
      <c r="D246" s="35">
        <v>0.35555555555555557</v>
      </c>
      <c r="E246" s="35">
        <v>0.35555555555555557</v>
      </c>
      <c r="F246" s="35">
        <v>0.46319444444444446</v>
      </c>
      <c r="G246" s="35">
        <v>0.46319444444444446</v>
      </c>
      <c r="H246" s="29" t="s">
        <v>37</v>
      </c>
      <c r="I246" s="37">
        <v>0.36249999999999999</v>
      </c>
      <c r="J246" s="29" t="s">
        <v>37</v>
      </c>
      <c r="K246" s="37">
        <v>0.45624999999999999</v>
      </c>
      <c r="L246" s="27" t="s">
        <v>157</v>
      </c>
      <c r="M246" s="30">
        <v>0.37152777777777779</v>
      </c>
      <c r="N246" s="37">
        <v>0.44930555555555557</v>
      </c>
      <c r="O246" s="30">
        <v>8.611111111111111E-2</v>
      </c>
      <c r="P246" s="38">
        <v>37.799999999999997</v>
      </c>
      <c r="Q246" s="35">
        <v>9.375E-2</v>
      </c>
      <c r="W246" s="29" t="s">
        <v>106</v>
      </c>
      <c r="X246"/>
    </row>
    <row r="247" spans="2:24">
      <c r="B247" s="46" t="s">
        <v>356</v>
      </c>
      <c r="C247" s="85"/>
      <c r="D247" s="35">
        <v>0.24236111111111111</v>
      </c>
      <c r="E247" s="35">
        <v>0.24236111111111111</v>
      </c>
      <c r="F247" s="35">
        <v>0.46319444444444446</v>
      </c>
      <c r="G247" s="35">
        <v>0.46319444444444446</v>
      </c>
      <c r="H247" s="29" t="s">
        <v>37</v>
      </c>
      <c r="I247" s="37">
        <v>0.25277777777777777</v>
      </c>
      <c r="J247" s="29" t="s">
        <v>37</v>
      </c>
      <c r="K247" s="37">
        <v>0.45624999999999999</v>
      </c>
      <c r="L247" s="27" t="s">
        <v>157</v>
      </c>
      <c r="M247" s="30">
        <v>0.25277777777777777</v>
      </c>
      <c r="N247" s="37">
        <v>0.44930555555555557</v>
      </c>
      <c r="O247" s="30">
        <v>0.16527777777777777</v>
      </c>
      <c r="P247" s="38">
        <v>73.8</v>
      </c>
      <c r="Q247" s="35">
        <v>0.19027777777777777</v>
      </c>
      <c r="W247" s="29" t="s">
        <v>106</v>
      </c>
      <c r="X247"/>
    </row>
    <row r="248" spans="2:24">
      <c r="B248" s="46" t="s">
        <v>357</v>
      </c>
      <c r="C248" s="45"/>
      <c r="D248" s="35">
        <v>0.26874999999999999</v>
      </c>
      <c r="E248" s="35">
        <v>0.26874999999999999</v>
      </c>
      <c r="F248" s="35">
        <v>0.46319444444444446</v>
      </c>
      <c r="G248" s="35">
        <v>0.46319444444444446</v>
      </c>
      <c r="H248" s="29" t="s">
        <v>53</v>
      </c>
      <c r="I248" s="37">
        <v>0.27916666666666667</v>
      </c>
      <c r="J248" s="29" t="s">
        <v>37</v>
      </c>
      <c r="K248" s="37">
        <v>0.45624999999999999</v>
      </c>
      <c r="L248" s="27" t="s">
        <v>157</v>
      </c>
      <c r="M248" s="30">
        <v>0.27916666666666667</v>
      </c>
      <c r="N248" s="37">
        <v>0.44930555555555557</v>
      </c>
      <c r="O248" s="30">
        <v>0.1388888888888889</v>
      </c>
      <c r="P248" s="38">
        <v>59.2</v>
      </c>
      <c r="Q248" s="35">
        <v>0.16388888888888889</v>
      </c>
      <c r="R248" s="38">
        <v>133.80000000000001</v>
      </c>
      <c r="W248" s="29" t="s">
        <v>106</v>
      </c>
      <c r="X248"/>
    </row>
    <row r="249" spans="2:24">
      <c r="K249" s="36"/>
      <c r="W249" s="29"/>
      <c r="X249"/>
    </row>
    <row r="250" spans="2:24">
      <c r="B250" s="46" t="s">
        <v>495</v>
      </c>
      <c r="C250" s="46"/>
      <c r="D250" s="35">
        <v>0.29444444444444445</v>
      </c>
      <c r="E250" s="35">
        <v>0.29444444444444445</v>
      </c>
      <c r="F250" s="35">
        <v>0.40625</v>
      </c>
      <c r="G250" s="35">
        <v>0.40625</v>
      </c>
      <c r="H250" s="29" t="s">
        <v>37</v>
      </c>
      <c r="I250" s="37">
        <v>0.30486111111111114</v>
      </c>
      <c r="J250" s="29" t="s">
        <v>37</v>
      </c>
      <c r="K250" s="37">
        <v>0.39930555555555558</v>
      </c>
      <c r="L250" s="27" t="s">
        <v>114</v>
      </c>
      <c r="M250" s="30">
        <v>0.31388888888888888</v>
      </c>
      <c r="N250" s="37">
        <v>0.3923611111111111</v>
      </c>
      <c r="O250" s="30">
        <v>8.9583333333333334E-2</v>
      </c>
      <c r="P250" s="38">
        <v>33</v>
      </c>
      <c r="Q250" s="35">
        <v>9.4444444444444442E-2</v>
      </c>
      <c r="W250" s="29" t="s">
        <v>106</v>
      </c>
      <c r="X250"/>
    </row>
    <row r="251" spans="2:24">
      <c r="B251" s="46" t="s">
        <v>627</v>
      </c>
      <c r="C251" s="46"/>
      <c r="D251" s="35">
        <v>0.49930555555555556</v>
      </c>
      <c r="E251" s="35">
        <v>0.49930555555555556</v>
      </c>
      <c r="F251" s="35">
        <v>0.61944444444444446</v>
      </c>
      <c r="G251" s="35">
        <v>0.61944444444444446</v>
      </c>
      <c r="H251" s="29" t="s">
        <v>37</v>
      </c>
      <c r="I251" s="37">
        <v>0.50624999999999998</v>
      </c>
      <c r="J251" s="29" t="s">
        <v>52</v>
      </c>
      <c r="K251" s="37">
        <v>0.61250000000000004</v>
      </c>
      <c r="L251" s="27" t="s">
        <v>250</v>
      </c>
      <c r="M251" s="30">
        <v>0.51527777777777772</v>
      </c>
      <c r="N251" s="37">
        <v>0.60555555555555551</v>
      </c>
      <c r="O251" s="30">
        <v>9.7916666666666666E-2</v>
      </c>
      <c r="P251" s="38">
        <v>43.4</v>
      </c>
      <c r="Q251" s="35">
        <v>0.10138888888888889</v>
      </c>
      <c r="W251" s="29" t="s">
        <v>106</v>
      </c>
      <c r="X251"/>
    </row>
    <row r="252" spans="2:24">
      <c r="B252" s="46" t="s">
        <v>358</v>
      </c>
      <c r="C252" s="46"/>
      <c r="D252" s="35">
        <v>0.61250000000000004</v>
      </c>
      <c r="E252" s="35">
        <v>0.61250000000000004</v>
      </c>
      <c r="F252" s="35">
        <v>0.72499999999999998</v>
      </c>
      <c r="G252" s="35">
        <v>0.72499999999999998</v>
      </c>
      <c r="H252" s="29" t="s">
        <v>52</v>
      </c>
      <c r="I252" s="37">
        <v>0.61944444444444446</v>
      </c>
      <c r="J252" s="29" t="s">
        <v>37</v>
      </c>
      <c r="K252" s="37">
        <v>0.71805555555555556</v>
      </c>
      <c r="L252" s="27" t="s">
        <v>250</v>
      </c>
      <c r="M252" s="30">
        <v>0.62847222222222221</v>
      </c>
      <c r="N252" s="37">
        <v>0.71111111111111114</v>
      </c>
      <c r="O252" s="30">
        <v>8.4722222222222227E-2</v>
      </c>
      <c r="P252" s="38">
        <v>35.299999999999997</v>
      </c>
      <c r="Q252" s="35">
        <v>9.375E-2</v>
      </c>
      <c r="W252" s="29" t="s">
        <v>106</v>
      </c>
      <c r="X252"/>
    </row>
    <row r="253" spans="2:24">
      <c r="B253" s="46" t="s">
        <v>628</v>
      </c>
      <c r="C253" s="46"/>
      <c r="D253" s="35">
        <v>0.74375000000000002</v>
      </c>
      <c r="E253" s="35">
        <v>0.74375000000000002</v>
      </c>
      <c r="F253" s="35">
        <v>0.83125000000000004</v>
      </c>
      <c r="G253" s="35">
        <v>0.83125000000000004</v>
      </c>
      <c r="H253" s="29" t="s">
        <v>37</v>
      </c>
      <c r="I253" s="37">
        <v>0.75069444444444444</v>
      </c>
      <c r="J253" s="29" t="s">
        <v>52</v>
      </c>
      <c r="K253" s="37">
        <v>0.82430555555555551</v>
      </c>
      <c r="L253" s="27" t="s">
        <v>250</v>
      </c>
      <c r="M253" s="30">
        <v>0.75972222222222219</v>
      </c>
      <c r="N253" s="37">
        <v>0.81736111111111109</v>
      </c>
      <c r="O253" s="30">
        <v>6.0416666666666667E-2</v>
      </c>
      <c r="P253" s="38">
        <v>22.5</v>
      </c>
      <c r="Q253" s="35">
        <v>6.8750000000000006E-2</v>
      </c>
      <c r="W253" s="29" t="s">
        <v>106</v>
      </c>
      <c r="X253"/>
    </row>
    <row r="254" spans="2:24">
      <c r="B254" s="46" t="s">
        <v>359</v>
      </c>
      <c r="C254" s="46"/>
      <c r="D254" s="35">
        <v>0.83125000000000004</v>
      </c>
      <c r="E254" s="35">
        <v>0.83124999999999993</v>
      </c>
      <c r="F254" s="35">
        <v>0.8847222222222223</v>
      </c>
      <c r="G254" s="35">
        <v>0.8847222222222223</v>
      </c>
      <c r="H254" s="29" t="s">
        <v>52</v>
      </c>
      <c r="I254" s="37">
        <v>0.83819444444444446</v>
      </c>
      <c r="J254" s="29" t="s">
        <v>159</v>
      </c>
      <c r="K254" s="37">
        <v>0.87777777777777777</v>
      </c>
      <c r="L254" s="27" t="s">
        <v>250</v>
      </c>
      <c r="M254" s="30">
        <v>0.84722222222222221</v>
      </c>
      <c r="N254" s="37">
        <v>0.87777777777777777</v>
      </c>
      <c r="O254" s="30">
        <v>3.4722222222222224E-2</v>
      </c>
      <c r="P254" s="38">
        <v>16.3</v>
      </c>
      <c r="Q254" s="35">
        <v>3.4722222222222224E-2</v>
      </c>
      <c r="W254" s="29" t="s">
        <v>106</v>
      </c>
      <c r="X254"/>
    </row>
    <row r="255" spans="2:24">
      <c r="B255" s="46" t="s">
        <v>360</v>
      </c>
      <c r="C255" s="46"/>
      <c r="D255" s="35">
        <v>0.83124999999999993</v>
      </c>
      <c r="E255" s="35">
        <v>0.83124999999999993</v>
      </c>
      <c r="F255" s="35">
        <v>0.90902777777777777</v>
      </c>
      <c r="G255" s="35">
        <v>0.90902777777777777</v>
      </c>
      <c r="H255" s="29" t="s">
        <v>52</v>
      </c>
      <c r="I255" s="37">
        <v>0.83819444444444446</v>
      </c>
      <c r="J255" s="29" t="s">
        <v>37</v>
      </c>
      <c r="K255" s="37">
        <v>0.90208333333333324</v>
      </c>
      <c r="L255" s="27" t="s">
        <v>250</v>
      </c>
      <c r="M255" s="30">
        <v>0.84722222222222221</v>
      </c>
      <c r="N255" s="37">
        <v>0.90208333333333335</v>
      </c>
      <c r="O255" s="30">
        <v>5.9027777777777776E-2</v>
      </c>
      <c r="P255" s="38">
        <v>32.9</v>
      </c>
      <c r="Q255" s="35">
        <v>5.9027777777777776E-2</v>
      </c>
      <c r="W255" s="29" t="s">
        <v>106</v>
      </c>
      <c r="X255"/>
    </row>
    <row r="256" spans="2:24">
      <c r="B256" s="46" t="s">
        <v>361</v>
      </c>
      <c r="C256" s="85"/>
      <c r="D256" s="35">
        <v>0.29444444444444445</v>
      </c>
      <c r="E256" s="35">
        <v>0.29444444444444445</v>
      </c>
      <c r="F256" s="35">
        <v>0.90902777777777777</v>
      </c>
      <c r="G256" s="35">
        <v>0.90902777777777777</v>
      </c>
      <c r="H256" s="29" t="s">
        <v>37</v>
      </c>
      <c r="I256" s="37">
        <v>0.30486111111111114</v>
      </c>
      <c r="J256" s="29" t="s">
        <v>37</v>
      </c>
      <c r="K256" s="37">
        <v>0.90208333333333324</v>
      </c>
      <c r="L256" s="27" t="s">
        <v>362</v>
      </c>
      <c r="M256" s="30">
        <v>0.31388888888888888</v>
      </c>
      <c r="N256" s="37">
        <v>0.90208333333333324</v>
      </c>
      <c r="O256" s="30">
        <v>0.39166666666666666</v>
      </c>
      <c r="P256" s="38">
        <v>167.1</v>
      </c>
      <c r="Q256" s="35">
        <v>0.43472222222222223</v>
      </c>
      <c r="W256" s="29" t="s">
        <v>106</v>
      </c>
      <c r="X256"/>
    </row>
    <row r="257" spans="2:24">
      <c r="B257" s="46" t="s">
        <v>363</v>
      </c>
      <c r="C257" s="45"/>
      <c r="D257" s="35">
        <v>0.29444444444444445</v>
      </c>
      <c r="E257" s="35">
        <v>0.29444444444444445</v>
      </c>
      <c r="F257" s="35">
        <v>0.88472222222222219</v>
      </c>
      <c r="G257" s="35">
        <v>0.8847222222222223</v>
      </c>
      <c r="H257" s="29" t="s">
        <v>37</v>
      </c>
      <c r="I257" s="37">
        <v>0.30486111111111114</v>
      </c>
      <c r="J257" s="29" t="s">
        <v>159</v>
      </c>
      <c r="K257" s="37">
        <v>0.87777777777777777</v>
      </c>
      <c r="L257" s="27" t="s">
        <v>362</v>
      </c>
      <c r="M257" s="30">
        <v>0.31388888888888888</v>
      </c>
      <c r="N257" s="37">
        <v>0.87777777777777777</v>
      </c>
      <c r="O257" s="30">
        <v>0.36736111111111114</v>
      </c>
      <c r="P257" s="38">
        <v>150.5</v>
      </c>
      <c r="Q257" s="35">
        <v>0.41041666666666665</v>
      </c>
      <c r="W257" s="29" t="s">
        <v>106</v>
      </c>
      <c r="X257"/>
    </row>
    <row r="258" spans="2:24">
      <c r="B258" s="46" t="s">
        <v>364</v>
      </c>
      <c r="C258" s="46"/>
      <c r="D258" s="35">
        <v>0.27083333333333331</v>
      </c>
      <c r="E258" s="35">
        <v>0.27083333333333331</v>
      </c>
      <c r="F258" s="35">
        <v>0.33263888888888887</v>
      </c>
      <c r="G258" s="35">
        <v>0.33263888888888887</v>
      </c>
      <c r="H258" s="29" t="s">
        <v>159</v>
      </c>
      <c r="I258" s="37">
        <v>0.28125</v>
      </c>
      <c r="J258" s="29" t="s">
        <v>52</v>
      </c>
      <c r="K258" s="37">
        <v>0.32569444444444445</v>
      </c>
      <c r="L258" s="27" t="s">
        <v>250</v>
      </c>
      <c r="M258" s="30">
        <v>0.28125</v>
      </c>
      <c r="N258" s="37">
        <v>0.31875000000000003</v>
      </c>
      <c r="O258" s="30">
        <v>3.9583333333333331E-2</v>
      </c>
      <c r="P258" s="38">
        <v>16.3</v>
      </c>
      <c r="Q258" s="35">
        <v>3.9583333333333331E-2</v>
      </c>
      <c r="W258" s="29" t="s">
        <v>106</v>
      </c>
      <c r="X258"/>
    </row>
    <row r="259" spans="2:24">
      <c r="B259" s="46" t="s">
        <v>365</v>
      </c>
      <c r="C259" s="46"/>
      <c r="D259" s="35">
        <v>0.24444444444444446</v>
      </c>
      <c r="E259" s="35">
        <v>0.24444444444444446</v>
      </c>
      <c r="F259" s="35">
        <v>0.33263888888888887</v>
      </c>
      <c r="G259" s="35">
        <v>0.33263888888888887</v>
      </c>
      <c r="H259" s="29" t="s">
        <v>37</v>
      </c>
      <c r="I259" s="37">
        <v>0.25486111111111109</v>
      </c>
      <c r="J259" s="29" t="s">
        <v>37</v>
      </c>
      <c r="K259" s="37">
        <v>0.32569444444444445</v>
      </c>
      <c r="L259" s="27" t="s">
        <v>250</v>
      </c>
      <c r="M259" s="30">
        <v>0.25486111111111109</v>
      </c>
      <c r="N259" s="37">
        <v>0.31875000000000003</v>
      </c>
      <c r="O259" s="30">
        <v>6.5972222222222224E-2</v>
      </c>
      <c r="P259" s="38">
        <v>32.9</v>
      </c>
      <c r="Q259" s="35">
        <v>6.5972222222222224E-2</v>
      </c>
      <c r="W259" s="29" t="s">
        <v>106</v>
      </c>
      <c r="X259"/>
    </row>
    <row r="260" spans="2:24">
      <c r="B260" s="46" t="s">
        <v>366</v>
      </c>
      <c r="C260" s="46"/>
      <c r="D260" s="35">
        <v>0.32222222222222224</v>
      </c>
      <c r="E260" s="35">
        <v>0.32222222222222224</v>
      </c>
      <c r="F260" s="35">
        <v>0.43819444444444444</v>
      </c>
      <c r="G260" s="35">
        <v>0.43819444444444444</v>
      </c>
      <c r="H260" s="29" t="s">
        <v>52</v>
      </c>
      <c r="I260" s="37">
        <v>0.32916666666666666</v>
      </c>
      <c r="J260" s="29" t="s">
        <v>37</v>
      </c>
      <c r="K260" s="37">
        <v>0.43125000000000002</v>
      </c>
      <c r="L260" s="27" t="s">
        <v>250</v>
      </c>
      <c r="M260" s="30">
        <v>0.33819444444444446</v>
      </c>
      <c r="N260" s="37">
        <v>0.42430555555555555</v>
      </c>
      <c r="O260" s="30">
        <v>8.819444444444445E-2</v>
      </c>
      <c r="P260" s="38">
        <v>40.299999999999997</v>
      </c>
      <c r="Q260" s="35">
        <v>9.7222222222222224E-2</v>
      </c>
      <c r="W260" s="29" t="s">
        <v>106</v>
      </c>
      <c r="X260"/>
    </row>
    <row r="261" spans="2:24">
      <c r="B261" s="46" t="s">
        <v>367</v>
      </c>
      <c r="C261" s="85"/>
      <c r="D261" s="35">
        <v>0.24444444444444446</v>
      </c>
      <c r="E261" s="35">
        <v>0.24444444444444446</v>
      </c>
      <c r="F261" s="35">
        <v>0.43819444444444444</v>
      </c>
      <c r="G261" s="35">
        <v>0.43819444444444444</v>
      </c>
      <c r="H261" s="29" t="s">
        <v>37</v>
      </c>
      <c r="I261" s="37">
        <v>0.25486111111111109</v>
      </c>
      <c r="J261" s="29" t="s">
        <v>37</v>
      </c>
      <c r="K261" s="37">
        <v>0.43125000000000002</v>
      </c>
      <c r="L261" s="27" t="s">
        <v>250</v>
      </c>
      <c r="M261" s="30">
        <v>0.25486111111111109</v>
      </c>
      <c r="N261" s="37">
        <v>0.42430555555555555</v>
      </c>
      <c r="O261" s="30">
        <v>0.15416666666666667</v>
      </c>
      <c r="P261" s="38">
        <v>73.2</v>
      </c>
      <c r="Q261" s="35">
        <v>0.18055555555555555</v>
      </c>
      <c r="W261" s="29" t="s">
        <v>106</v>
      </c>
      <c r="X261"/>
    </row>
    <row r="262" spans="2:24">
      <c r="B262" s="46" t="s">
        <v>368</v>
      </c>
      <c r="C262" s="45"/>
      <c r="D262" s="35">
        <v>0.27083333333333331</v>
      </c>
      <c r="E262" s="35">
        <v>0.27083333333333331</v>
      </c>
      <c r="F262" s="35">
        <v>0.43819444444444444</v>
      </c>
      <c r="G262" s="35">
        <v>0.43819444444444444</v>
      </c>
      <c r="H262" s="29" t="s">
        <v>159</v>
      </c>
      <c r="I262" s="37">
        <v>0.28125</v>
      </c>
      <c r="J262" s="29" t="s">
        <v>37</v>
      </c>
      <c r="K262" s="37">
        <v>0.43125000000000002</v>
      </c>
      <c r="L262" s="27" t="s">
        <v>250</v>
      </c>
      <c r="M262" s="30">
        <v>0.28125</v>
      </c>
      <c r="N262" s="37">
        <v>0.42430555555555555</v>
      </c>
      <c r="O262" s="30">
        <v>0.12777777777777777</v>
      </c>
      <c r="P262" s="38">
        <v>56.6</v>
      </c>
      <c r="Q262" s="35">
        <v>0.15416666666666667</v>
      </c>
      <c r="W262" s="29" t="s">
        <v>106</v>
      </c>
      <c r="X262"/>
    </row>
    <row r="263" spans="2:24">
      <c r="B263" s="46" t="s">
        <v>629</v>
      </c>
      <c r="C263" s="46"/>
      <c r="D263" s="35">
        <v>0.26180555555555557</v>
      </c>
      <c r="E263" s="35">
        <v>0.26180555555555557</v>
      </c>
      <c r="F263" s="35">
        <v>0.39513888888888887</v>
      </c>
      <c r="G263" s="35">
        <v>0.39513888888888887</v>
      </c>
      <c r="H263" s="29" t="s">
        <v>37</v>
      </c>
      <c r="I263" s="37">
        <v>0.2722222222222222</v>
      </c>
      <c r="J263" s="29" t="s">
        <v>37</v>
      </c>
      <c r="K263" s="37">
        <v>0.38819444444444445</v>
      </c>
      <c r="L263" s="27" t="s">
        <v>107</v>
      </c>
      <c r="M263" s="30">
        <v>0.28125</v>
      </c>
      <c r="N263" s="37">
        <v>0.38124999999999998</v>
      </c>
      <c r="O263" s="30">
        <v>0.11319444444444444</v>
      </c>
      <c r="P263" s="38">
        <v>41.8</v>
      </c>
      <c r="Q263" s="35">
        <v>0.11597222222222223</v>
      </c>
      <c r="W263" s="29" t="s">
        <v>106</v>
      </c>
      <c r="X263"/>
    </row>
    <row r="264" spans="2:24">
      <c r="B264" s="46" t="s">
        <v>630</v>
      </c>
      <c r="C264" s="46"/>
      <c r="D264" s="35">
        <v>0.48819444444444443</v>
      </c>
      <c r="E264" s="35">
        <v>0.48819444444444443</v>
      </c>
      <c r="F264" s="35">
        <v>0.57708333333333328</v>
      </c>
      <c r="G264" s="35">
        <v>0.57708333333333328</v>
      </c>
      <c r="H264" s="29" t="s">
        <v>37</v>
      </c>
      <c r="I264" s="37">
        <v>0.49513888888888891</v>
      </c>
      <c r="J264" s="29" t="s">
        <v>37</v>
      </c>
      <c r="K264" s="37">
        <v>0.57013888888888886</v>
      </c>
      <c r="L264" s="27" t="s">
        <v>114</v>
      </c>
      <c r="M264" s="30">
        <v>0.49513888888888891</v>
      </c>
      <c r="N264" s="37">
        <v>0.56319444444444444</v>
      </c>
      <c r="O264" s="30" t="str">
        <f ca="1">IF($A$4="平日","1:37","1:34")</f>
        <v>1:34</v>
      </c>
      <c r="P264" s="38">
        <f ca="1">IF($A$4="平日",25.1,25.1)</f>
        <v>25.1</v>
      </c>
      <c r="Q264" s="30" t="str">
        <f ca="1">IF($A$4="平日","1:51","1:48")</f>
        <v>1:48</v>
      </c>
      <c r="W264" s="29" t="s">
        <v>106</v>
      </c>
      <c r="X264"/>
    </row>
    <row r="265" spans="2:24">
      <c r="B265" s="46" t="s">
        <v>631</v>
      </c>
      <c r="C265" s="46"/>
      <c r="D265" s="35">
        <v>0.64375000000000004</v>
      </c>
      <c r="E265" s="35">
        <v>0.64375000000000004</v>
      </c>
      <c r="F265" s="35">
        <v>0.71736111111111112</v>
      </c>
      <c r="G265" s="35">
        <v>0.71736111111111112</v>
      </c>
      <c r="H265" s="29" t="s">
        <v>37</v>
      </c>
      <c r="I265" s="37">
        <v>0.65069444444444446</v>
      </c>
      <c r="J265" s="29" t="s">
        <v>37</v>
      </c>
      <c r="K265" s="37">
        <v>0.7104166666666667</v>
      </c>
      <c r="L265" s="27" t="s">
        <v>114</v>
      </c>
      <c r="M265" s="30">
        <v>0.65486111111111112</v>
      </c>
      <c r="N265" s="37">
        <v>0.70833333333333337</v>
      </c>
      <c r="O265" s="30">
        <v>5.9722222222222225E-2</v>
      </c>
      <c r="P265" s="38">
        <v>18.600000000000001</v>
      </c>
      <c r="Q265" s="35">
        <v>5.9722222222222225E-2</v>
      </c>
      <c r="W265" s="29" t="s">
        <v>106</v>
      </c>
      <c r="X265"/>
    </row>
    <row r="266" spans="2:24">
      <c r="B266" s="46" t="s">
        <v>632</v>
      </c>
      <c r="C266" s="46"/>
      <c r="D266" s="30">
        <v>0.74861111111111112</v>
      </c>
      <c r="E266" s="30">
        <v>0.74861111111111112</v>
      </c>
      <c r="F266" s="35">
        <v>0.87986111111111109</v>
      </c>
      <c r="G266" s="35">
        <v>0.87986111111111109</v>
      </c>
      <c r="H266" s="29" t="s">
        <v>37</v>
      </c>
      <c r="I266" s="37">
        <v>0.75555555555555554</v>
      </c>
      <c r="J266" s="29" t="s">
        <v>37</v>
      </c>
      <c r="K266" s="37">
        <v>0.87291666666666667</v>
      </c>
      <c r="L266" s="27" t="s">
        <v>114</v>
      </c>
      <c r="M266" s="30">
        <v>0.75555555555555554</v>
      </c>
      <c r="N266" s="37">
        <v>0.86597222222222225</v>
      </c>
      <c r="O266" s="30">
        <v>0.1</v>
      </c>
      <c r="P266" s="38">
        <v>42</v>
      </c>
      <c r="Q266" s="35">
        <v>0.10833333333333334</v>
      </c>
      <c r="R266" s="30"/>
      <c r="S266" s="27"/>
      <c r="T266" s="27"/>
      <c r="W266" s="29" t="s">
        <v>106</v>
      </c>
      <c r="X266"/>
    </row>
    <row r="267" spans="2:24">
      <c r="B267" s="46" t="s">
        <v>633</v>
      </c>
      <c r="C267" s="46"/>
      <c r="D267" s="30">
        <v>0.76875000000000004</v>
      </c>
      <c r="E267" s="30">
        <v>0.76875000000000004</v>
      </c>
      <c r="F267" s="35">
        <v>0.87986111111111109</v>
      </c>
      <c r="G267" s="35">
        <v>0.87986111111111109</v>
      </c>
      <c r="H267" s="29" t="s">
        <v>37</v>
      </c>
      <c r="I267" s="37">
        <v>0.77569444444444446</v>
      </c>
      <c r="J267" s="29" t="s">
        <v>37</v>
      </c>
      <c r="K267" s="37">
        <v>0.87291666666666667</v>
      </c>
      <c r="L267" s="27" t="s">
        <v>114</v>
      </c>
      <c r="M267" s="30">
        <v>0.78472222222222221</v>
      </c>
      <c r="N267" s="37">
        <v>0.86597222222222225</v>
      </c>
      <c r="O267" s="30">
        <v>8.8888888888888892E-2</v>
      </c>
      <c r="P267" s="38">
        <v>39.200000000000003</v>
      </c>
      <c r="Q267" s="35">
        <v>9.7222222222222224E-2</v>
      </c>
      <c r="R267" s="30"/>
      <c r="S267" s="27"/>
      <c r="T267" s="27"/>
      <c r="W267" s="29" t="s">
        <v>106</v>
      </c>
      <c r="X267"/>
    </row>
    <row r="268" spans="2:24">
      <c r="B268" s="46" t="s">
        <v>369</v>
      </c>
      <c r="C268" s="45"/>
      <c r="D268" s="30" t="str">
        <f ca="1">IF($A$4="平日","6:17","11:43")</f>
        <v>11:43</v>
      </c>
      <c r="E268" s="30" t="str">
        <f ca="1">IF($A$4="平日","6:17","11:43")</f>
        <v>11:43</v>
      </c>
      <c r="F268" s="30">
        <v>0.87986111111111109</v>
      </c>
      <c r="G268" s="30">
        <v>0.87986111111111109</v>
      </c>
      <c r="H268" s="29" t="s">
        <v>37</v>
      </c>
      <c r="I268" s="30" t="str">
        <f ca="1">IF($A$4="平日","6:32","11:53")</f>
        <v>11:53</v>
      </c>
      <c r="J268" s="29" t="s">
        <v>37</v>
      </c>
      <c r="K268" s="37">
        <v>0.87291666666666667</v>
      </c>
      <c r="L268" s="29" t="str">
        <f ca="1">IF($A$4="平日","1005    1057","1057")</f>
        <v>1057</v>
      </c>
      <c r="M268" s="30" t="str">
        <f ca="1">IF($A$4="平日","6:45","11:53")</f>
        <v>11:53</v>
      </c>
      <c r="N268" s="30">
        <v>0.86597222222222225</v>
      </c>
      <c r="O268" s="30" t="str">
        <f ca="1">IF($A$4="平日","8:10","5:08")</f>
        <v>5:08</v>
      </c>
      <c r="P268" s="39">
        <f ca="1">IF($A$4="平日",127.5,82.9)</f>
        <v>82.9</v>
      </c>
      <c r="Q268" s="30" t="str">
        <f ca="1">IF($A$4="平日","9:05","5:54")</f>
        <v>5:54</v>
      </c>
      <c r="W268" s="29" t="s">
        <v>106</v>
      </c>
      <c r="X268"/>
    </row>
    <row r="269" spans="2:24">
      <c r="B269" s="46" t="s">
        <v>634</v>
      </c>
      <c r="C269" s="46"/>
      <c r="D269" s="35">
        <v>0.25833333333333336</v>
      </c>
      <c r="E269" s="35">
        <v>0.25833333333333336</v>
      </c>
      <c r="F269" s="35">
        <v>0.36458333333333331</v>
      </c>
      <c r="G269" s="35">
        <v>0.36458333333333331</v>
      </c>
      <c r="H269" s="29" t="s">
        <v>37</v>
      </c>
      <c r="I269" s="37">
        <v>0.26874999999999999</v>
      </c>
      <c r="J269" s="29" t="s">
        <v>37</v>
      </c>
      <c r="K269" s="37">
        <v>0.39930555555555558</v>
      </c>
      <c r="L269" s="27" t="s">
        <v>162</v>
      </c>
      <c r="M269" s="30">
        <v>0.27777777777777779</v>
      </c>
      <c r="N269" s="37">
        <v>0.35069444444444442</v>
      </c>
      <c r="O269" s="30">
        <v>8.6805555555555552E-2</v>
      </c>
      <c r="P269" s="38">
        <v>30.3</v>
      </c>
      <c r="Q269" s="35">
        <v>8.8888888888888892E-2</v>
      </c>
      <c r="W269" s="29" t="s">
        <v>106</v>
      </c>
      <c r="X269"/>
    </row>
    <row r="270" spans="2:24">
      <c r="B270" s="46" t="s">
        <v>635</v>
      </c>
      <c r="C270" s="46"/>
      <c r="D270" s="30">
        <v>0.43472222222222223</v>
      </c>
      <c r="E270" s="30">
        <v>0.43472222222222223</v>
      </c>
      <c r="F270" s="35">
        <v>0.56666666666666665</v>
      </c>
      <c r="G270" s="35">
        <v>0.56666666666666665</v>
      </c>
      <c r="H270" s="29" t="s">
        <v>37</v>
      </c>
      <c r="I270" s="37">
        <v>0.44166666666666665</v>
      </c>
      <c r="J270" s="29" t="s">
        <v>37</v>
      </c>
      <c r="K270" s="37">
        <v>0.55972222222222223</v>
      </c>
      <c r="L270" s="27" t="s">
        <v>162</v>
      </c>
      <c r="M270" s="30">
        <v>0.44166666666666665</v>
      </c>
      <c r="N270" s="37">
        <v>0.55972222222222223</v>
      </c>
      <c r="O270" s="30">
        <v>0.10138888888888889</v>
      </c>
      <c r="P270" s="38">
        <v>39.299999999999997</v>
      </c>
      <c r="Q270" s="35">
        <v>0.10902777777777778</v>
      </c>
      <c r="W270" s="29" t="s">
        <v>106</v>
      </c>
      <c r="X270"/>
    </row>
    <row r="271" spans="2:24">
      <c r="B271" s="46" t="s">
        <v>496</v>
      </c>
      <c r="C271" s="46"/>
      <c r="D271" s="35">
        <v>0.58472222222222225</v>
      </c>
      <c r="E271" s="35">
        <v>0.58472222222222225</v>
      </c>
      <c r="F271" s="35">
        <v>0.69027777777777777</v>
      </c>
      <c r="G271" s="35">
        <v>0.69027777777777777</v>
      </c>
      <c r="H271" s="29" t="s">
        <v>37</v>
      </c>
      <c r="I271" s="37">
        <v>0.59166666666666667</v>
      </c>
      <c r="J271" s="29" t="s">
        <v>37</v>
      </c>
      <c r="K271" s="37">
        <v>0.68333333333333335</v>
      </c>
      <c r="L271" s="27" t="s">
        <v>162</v>
      </c>
      <c r="M271" s="30">
        <v>0.60069444444444442</v>
      </c>
      <c r="N271" s="37">
        <v>0.67638888888888893</v>
      </c>
      <c r="O271" s="30">
        <v>8.3333333333333329E-2</v>
      </c>
      <c r="P271" s="38">
        <v>33</v>
      </c>
      <c r="Q271" s="35">
        <v>9.166666666666666E-2</v>
      </c>
      <c r="W271" s="29" t="s">
        <v>106</v>
      </c>
      <c r="X271"/>
    </row>
    <row r="272" spans="2:24">
      <c r="B272" s="46" t="s">
        <v>370</v>
      </c>
      <c r="C272" s="46"/>
      <c r="D272" s="35">
        <v>0.71319444444444446</v>
      </c>
      <c r="E272" s="35">
        <v>0.71319444444444446</v>
      </c>
      <c r="F272" s="35">
        <v>0.84166666666666667</v>
      </c>
      <c r="G272" s="35">
        <v>0.84166666666666667</v>
      </c>
      <c r="H272" s="29" t="s">
        <v>37</v>
      </c>
      <c r="I272" s="37">
        <v>0.72013888888888888</v>
      </c>
      <c r="J272" s="29" t="s">
        <v>37</v>
      </c>
      <c r="K272" s="37">
        <v>0.83472222222222225</v>
      </c>
      <c r="L272" s="27" t="s">
        <v>162</v>
      </c>
      <c r="M272" s="30">
        <v>0.72916666666666663</v>
      </c>
      <c r="N272" s="37">
        <v>0.82777777777777772</v>
      </c>
      <c r="O272" s="30">
        <v>9.6527777777777782E-2</v>
      </c>
      <c r="P272" s="38">
        <v>34.1</v>
      </c>
      <c r="Q272" s="35">
        <v>0.10277777777777777</v>
      </c>
      <c r="W272" s="29" t="s">
        <v>106</v>
      </c>
      <c r="X272"/>
    </row>
    <row r="273" spans="2:24">
      <c r="B273" s="46" t="s">
        <v>371</v>
      </c>
      <c r="C273" s="45"/>
      <c r="D273" s="30">
        <v>0.25833333333333336</v>
      </c>
      <c r="E273" s="30">
        <v>0.25833333333333336</v>
      </c>
      <c r="F273" s="35">
        <v>0.84166666666666667</v>
      </c>
      <c r="G273" s="35">
        <v>0.84166666666666667</v>
      </c>
      <c r="H273" s="29" t="s">
        <v>37</v>
      </c>
      <c r="I273" s="30">
        <v>0.26874999999999999</v>
      </c>
      <c r="J273" s="29" t="s">
        <v>37</v>
      </c>
      <c r="K273" s="37">
        <v>0.83472222222222225</v>
      </c>
      <c r="L273" s="27" t="s">
        <v>162</v>
      </c>
      <c r="M273" s="30">
        <v>0.27777777777777779</v>
      </c>
      <c r="N273" s="37">
        <v>0.82777777777777772</v>
      </c>
      <c r="O273" s="30">
        <v>0.36944444444444446</v>
      </c>
      <c r="P273" s="38">
        <v>136.9</v>
      </c>
      <c r="Q273" s="30">
        <v>0.40972222222222221</v>
      </c>
      <c r="W273" s="29" t="s">
        <v>106</v>
      </c>
      <c r="X273"/>
    </row>
    <row r="274" spans="2:24">
      <c r="B274" s="46" t="s">
        <v>372</v>
      </c>
      <c r="C274" s="45"/>
      <c r="D274" s="35">
        <v>0.25347222222222221</v>
      </c>
      <c r="E274" s="35">
        <v>0.25347222222222221</v>
      </c>
      <c r="F274" s="35">
        <v>0.375</v>
      </c>
      <c r="G274" s="35">
        <v>0.375</v>
      </c>
      <c r="H274" s="29" t="s">
        <v>37</v>
      </c>
      <c r="I274" s="37">
        <v>0.2638888888888889</v>
      </c>
      <c r="J274" s="29" t="s">
        <v>37</v>
      </c>
      <c r="K274" s="37">
        <v>0.36805555555555558</v>
      </c>
      <c r="L274" s="27" t="s">
        <v>61</v>
      </c>
      <c r="M274" s="30">
        <v>0.27291666666666664</v>
      </c>
      <c r="N274" s="37">
        <v>0.3611111111111111</v>
      </c>
      <c r="O274" s="30">
        <v>0.10138888888888889</v>
      </c>
      <c r="P274" s="38">
        <v>37.799999999999997</v>
      </c>
      <c r="Q274" s="35">
        <v>0.12152777777777778</v>
      </c>
      <c r="R274" s="38">
        <v>136.9</v>
      </c>
      <c r="W274" s="29" t="s">
        <v>106</v>
      </c>
      <c r="X274"/>
    </row>
    <row r="275" spans="2:24">
      <c r="K275" s="36"/>
      <c r="W275" s="29"/>
      <c r="X275"/>
    </row>
    <row r="276" spans="2:24">
      <c r="B276" s="46" t="s">
        <v>636</v>
      </c>
      <c r="C276" s="46"/>
      <c r="D276" s="35">
        <v>0.32430555555555557</v>
      </c>
      <c r="E276" s="35">
        <v>0.32430555555555557</v>
      </c>
      <c r="F276" s="35">
        <v>0.43194444444444446</v>
      </c>
      <c r="G276" s="35">
        <v>0.43194444444444446</v>
      </c>
      <c r="H276" s="29" t="s">
        <v>52</v>
      </c>
      <c r="I276" s="37">
        <v>0.3347222222222222</v>
      </c>
      <c r="J276" s="29" t="s">
        <v>37</v>
      </c>
      <c r="K276" s="37">
        <v>0.42499999999999999</v>
      </c>
      <c r="L276" s="27" t="s">
        <v>161</v>
      </c>
      <c r="M276" s="30">
        <v>0.34375</v>
      </c>
      <c r="N276" s="37">
        <v>0.41805555555555557</v>
      </c>
      <c r="O276" s="30">
        <v>8.1944444444444445E-2</v>
      </c>
      <c r="P276" s="38">
        <v>29.4</v>
      </c>
      <c r="Q276" s="35">
        <v>9.0277777777777776E-2</v>
      </c>
      <c r="W276" s="29" t="s">
        <v>106</v>
      </c>
      <c r="X276"/>
    </row>
    <row r="277" spans="2:24">
      <c r="B277" s="46" t="s">
        <v>637</v>
      </c>
      <c r="C277" s="46"/>
      <c r="D277" s="35">
        <v>0.47986111111111113</v>
      </c>
      <c r="E277" s="35">
        <v>0.47986111111111113</v>
      </c>
      <c r="F277" s="35">
        <v>0.57499999999999996</v>
      </c>
      <c r="G277" s="35">
        <v>0.57499999999999996</v>
      </c>
      <c r="H277" s="29" t="s">
        <v>37</v>
      </c>
      <c r="I277" s="37">
        <v>0.48680555555555555</v>
      </c>
      <c r="J277" s="29" t="s">
        <v>52</v>
      </c>
      <c r="K277" s="37">
        <v>0.56805555555555554</v>
      </c>
      <c r="L277" s="27" t="s">
        <v>164</v>
      </c>
      <c r="M277" s="30">
        <v>0.49583333333333335</v>
      </c>
      <c r="N277" s="37">
        <v>0.56111111111111112</v>
      </c>
      <c r="O277" s="30">
        <v>6.9444444444444448E-2</v>
      </c>
      <c r="P277" s="38">
        <v>27.8</v>
      </c>
      <c r="Q277" s="35">
        <v>7.6388888888888895E-2</v>
      </c>
      <c r="W277" s="29" t="s">
        <v>106</v>
      </c>
      <c r="X277"/>
    </row>
    <row r="278" spans="2:24">
      <c r="B278" s="46" t="s">
        <v>638</v>
      </c>
      <c r="C278" s="46"/>
      <c r="D278" s="35">
        <v>0.57291666666666663</v>
      </c>
      <c r="E278" s="35">
        <v>0.57291666666666663</v>
      </c>
      <c r="F278" s="35">
        <v>0.66041666666666665</v>
      </c>
      <c r="G278" s="35">
        <v>0.66041666666666665</v>
      </c>
      <c r="H278" s="29" t="s">
        <v>52</v>
      </c>
      <c r="I278" s="37">
        <v>0.57986111111111116</v>
      </c>
      <c r="J278" s="29" t="s">
        <v>37</v>
      </c>
      <c r="K278" s="37">
        <v>0.65347222222222223</v>
      </c>
      <c r="L278" s="27" t="s">
        <v>164</v>
      </c>
      <c r="M278" s="30">
        <v>0.58888888888888891</v>
      </c>
      <c r="N278" s="37">
        <v>0.64652777777777781</v>
      </c>
      <c r="O278" s="30">
        <v>5.8333333333333334E-2</v>
      </c>
      <c r="P278" s="38">
        <v>22.5</v>
      </c>
      <c r="Q278" s="35">
        <v>5.8333333333333334E-2</v>
      </c>
      <c r="W278" s="29" t="s">
        <v>106</v>
      </c>
      <c r="X278"/>
    </row>
    <row r="279" spans="2:24">
      <c r="B279" s="46" t="s">
        <v>373</v>
      </c>
      <c r="C279" s="46"/>
      <c r="D279" s="35">
        <v>0.68402777777777779</v>
      </c>
      <c r="E279" s="35">
        <v>0.68402777777777779</v>
      </c>
      <c r="F279" s="35">
        <v>0.81736111111111109</v>
      </c>
      <c r="G279" s="35">
        <v>0.81736111111111109</v>
      </c>
      <c r="H279" s="29" t="s">
        <v>37</v>
      </c>
      <c r="I279" s="37">
        <v>0.69097222222222221</v>
      </c>
      <c r="J279" s="29" t="s">
        <v>37</v>
      </c>
      <c r="K279" s="37">
        <v>0.81041666666666667</v>
      </c>
      <c r="L279" s="27" t="s">
        <v>164</v>
      </c>
      <c r="M279" s="30">
        <v>0.7</v>
      </c>
      <c r="N279" s="37">
        <v>0.80347222222222225</v>
      </c>
      <c r="O279" s="30">
        <v>0.10694444444444444</v>
      </c>
      <c r="P279" s="38">
        <v>39.200000000000003</v>
      </c>
      <c r="Q279" s="35">
        <v>0.10694444444444444</v>
      </c>
      <c r="R279" s="38"/>
      <c r="W279" s="29" t="s">
        <v>106</v>
      </c>
      <c r="X279"/>
    </row>
    <row r="280" spans="2:24">
      <c r="B280" s="46" t="s">
        <v>374</v>
      </c>
      <c r="C280" s="46"/>
      <c r="D280" s="35">
        <v>0.83819444444444446</v>
      </c>
      <c r="E280" s="35">
        <v>0.83819444444444446</v>
      </c>
      <c r="F280" s="35">
        <v>0.88680555555555551</v>
      </c>
      <c r="G280" s="35">
        <v>0.88680555555555551</v>
      </c>
      <c r="H280" s="29" t="s">
        <v>37</v>
      </c>
      <c r="I280" s="37">
        <v>0.84513888888888888</v>
      </c>
      <c r="J280" s="29" t="s">
        <v>37</v>
      </c>
      <c r="K280" s="37">
        <v>0.87986111111111109</v>
      </c>
      <c r="L280" s="27" t="s">
        <v>164</v>
      </c>
      <c r="M280" s="30">
        <v>0.85416666666666663</v>
      </c>
      <c r="N280" s="37">
        <v>0.87986111111111109</v>
      </c>
      <c r="O280" s="30">
        <v>3.4722222222222224E-2</v>
      </c>
      <c r="P280" s="38">
        <v>16.5</v>
      </c>
      <c r="Q280" s="35">
        <v>3.4722222222222224E-2</v>
      </c>
      <c r="R280" s="38"/>
      <c r="W280" s="29" t="s">
        <v>106</v>
      </c>
      <c r="X280"/>
    </row>
    <row r="281" spans="2:24">
      <c r="B281" s="46" t="s">
        <v>375</v>
      </c>
      <c r="C281" s="46"/>
      <c r="D281" s="35">
        <v>0.83819444444444446</v>
      </c>
      <c r="E281" s="35">
        <v>0.83819444444444446</v>
      </c>
      <c r="F281" s="35">
        <v>0.90763888888888888</v>
      </c>
      <c r="G281" s="35">
        <v>0.90763888888888888</v>
      </c>
      <c r="H281" s="29" t="s">
        <v>37</v>
      </c>
      <c r="I281" s="37">
        <v>0.84513888888888888</v>
      </c>
      <c r="J281" s="29" t="s">
        <v>37</v>
      </c>
      <c r="K281" s="37">
        <v>0.90069444444444446</v>
      </c>
      <c r="L281" s="27" t="s">
        <v>164</v>
      </c>
      <c r="M281" s="30">
        <v>0.85416666666666663</v>
      </c>
      <c r="N281" s="37">
        <v>0.90069444444444446</v>
      </c>
      <c r="O281" s="30">
        <v>5.5555555555555552E-2</v>
      </c>
      <c r="P281" s="38">
        <v>30.3</v>
      </c>
      <c r="Q281" s="35">
        <v>5.5555555555555552E-2</v>
      </c>
      <c r="W281" s="29" t="s">
        <v>106</v>
      </c>
      <c r="X281"/>
    </row>
    <row r="282" spans="2:24">
      <c r="B282" s="46" t="s">
        <v>376</v>
      </c>
      <c r="C282" s="85"/>
      <c r="D282" s="35">
        <v>0.32430555555555557</v>
      </c>
      <c r="E282" s="35">
        <v>0.32430555555555557</v>
      </c>
      <c r="F282" s="30">
        <v>0.90763888888888888</v>
      </c>
      <c r="G282" s="30">
        <v>0.90763888888888888</v>
      </c>
      <c r="H282" s="29" t="s">
        <v>37</v>
      </c>
      <c r="I282" s="37">
        <v>0.3347222222222222</v>
      </c>
      <c r="J282" s="29" t="s">
        <v>37</v>
      </c>
      <c r="K282" s="37">
        <v>0.90069444444444446</v>
      </c>
      <c r="L282" s="27" t="s">
        <v>377</v>
      </c>
      <c r="M282" s="30">
        <v>0.34375</v>
      </c>
      <c r="N282" s="30">
        <v>0.90069444444444446</v>
      </c>
      <c r="O282" s="30">
        <v>0.37222222222222223</v>
      </c>
      <c r="P282" s="38">
        <v>149.19999999999999</v>
      </c>
      <c r="Q282" s="30">
        <v>0.40486111111111112</v>
      </c>
      <c r="W282" s="29" t="s">
        <v>106</v>
      </c>
      <c r="X282"/>
    </row>
    <row r="283" spans="2:24">
      <c r="B283" s="46" t="s">
        <v>378</v>
      </c>
      <c r="C283" s="45"/>
      <c r="D283" s="35">
        <v>0.32430555555555557</v>
      </c>
      <c r="E283" s="35">
        <v>0.32430555555555557</v>
      </c>
      <c r="F283" s="30">
        <v>0.88680555555555551</v>
      </c>
      <c r="G283" s="30">
        <v>0.88680555555555551</v>
      </c>
      <c r="H283" s="29" t="s">
        <v>37</v>
      </c>
      <c r="I283" s="37">
        <v>0.3347222222222222</v>
      </c>
      <c r="J283" s="29" t="s">
        <v>163</v>
      </c>
      <c r="K283" s="37">
        <v>0.87986111111111109</v>
      </c>
      <c r="L283" s="27" t="s">
        <v>377</v>
      </c>
      <c r="M283" s="30">
        <v>0.34375</v>
      </c>
      <c r="N283" s="30">
        <v>0.87986111111111109</v>
      </c>
      <c r="O283" s="30">
        <v>0.35138888888888886</v>
      </c>
      <c r="P283" s="38">
        <v>135.4</v>
      </c>
      <c r="Q283" s="30">
        <v>0.3840277777777778</v>
      </c>
      <c r="W283" s="29" t="s">
        <v>106</v>
      </c>
      <c r="X283"/>
    </row>
    <row r="284" spans="2:24">
      <c r="B284" s="146" t="str">
        <f ca="1">IF($A$4="平日","８-２ 7:05-8:18","８-２ (休) 7:05-7:48")</f>
        <v>８-２ (休) 7:05-7:48</v>
      </c>
      <c r="D284" s="30">
        <v>0.28472222222222221</v>
      </c>
      <c r="E284" s="30">
        <v>0.28472222222222221</v>
      </c>
      <c r="F284" s="30" t="str">
        <f ca="1">IF($A$4="平日","8:28","8:08")</f>
        <v>8:08</v>
      </c>
      <c r="G284" s="30" t="str">
        <f ca="1">IF($A$4="平日","8:28","8:08")</f>
        <v>8:08</v>
      </c>
      <c r="H284" s="29" t="s">
        <v>163</v>
      </c>
      <c r="I284" s="30">
        <v>0.2951388888888889</v>
      </c>
      <c r="J284" s="29" t="s">
        <v>37</v>
      </c>
      <c r="K284" s="30" t="str">
        <f ca="1">IF($A$4="平日","8:18","7:58")</f>
        <v>7:58</v>
      </c>
      <c r="L284" s="27" t="s">
        <v>164</v>
      </c>
      <c r="M284" s="30">
        <v>0.2951388888888889</v>
      </c>
      <c r="N284" s="30" t="str">
        <f ca="1">IF($A$4="平日","8:18","7:48")</f>
        <v>7:48</v>
      </c>
      <c r="O284" s="30" t="str">
        <f ca="1">IF($A$4="平日","1:07","0:53")</f>
        <v>0:53</v>
      </c>
      <c r="P284" s="38">
        <f ca="1">IF($A$4="平日",18.6,15.9)</f>
        <v>15.9</v>
      </c>
      <c r="Q284" s="30" t="str">
        <f ca="1">IF($A$4="平日","1:13","0:53")</f>
        <v>0:53</v>
      </c>
      <c r="W284" s="29" t="s">
        <v>106</v>
      </c>
      <c r="X284"/>
    </row>
    <row r="285" spans="2:24">
      <c r="B285" s="146" t="str">
        <f ca="1">IF($A$4="平日","８-２ 6:32-8:18(回送行)","８-２ (休) 6:32-7:48(回送行)")</f>
        <v>８-２ (休) 6:32-7:48(回送行)</v>
      </c>
      <c r="D285" s="30">
        <v>0.26180555555555557</v>
      </c>
      <c r="E285" s="30">
        <v>0.26180555555555557</v>
      </c>
      <c r="F285" s="30" t="str">
        <f ca="1">IF($A$4="平日","8:28","8:08")</f>
        <v>8:08</v>
      </c>
      <c r="G285" s="30" t="str">
        <f ca="1">IF($A$4="平日","8:28","8:08")</f>
        <v>8:08</v>
      </c>
      <c r="H285" s="29" t="s">
        <v>163</v>
      </c>
      <c r="I285" s="30">
        <v>0.2722222222222222</v>
      </c>
      <c r="J285" s="29" t="s">
        <v>37</v>
      </c>
      <c r="K285" s="30" t="str">
        <f ca="1">IF($A$4="平日","8:18","7:58")</f>
        <v>7:58</v>
      </c>
      <c r="L285" s="27" t="s">
        <v>164</v>
      </c>
      <c r="M285" s="30">
        <v>0.2722222222222222</v>
      </c>
      <c r="N285" s="30" t="str">
        <f ca="1">IF($A$4="平日","8:18","7:48")</f>
        <v>7:48</v>
      </c>
      <c r="O285" s="30" t="str">
        <f ca="1">IF($A$4="平日","1:40","1:26")</f>
        <v>1:26</v>
      </c>
      <c r="P285" s="38">
        <f ca="1">IF($A$4="平日",32.4,29.7)</f>
        <v>29.7</v>
      </c>
      <c r="Q285" s="30" t="str">
        <f ca="1">IF($A$4="平日","1:46","1:26")</f>
        <v>1:26</v>
      </c>
      <c r="W285" s="29" t="s">
        <v>106</v>
      </c>
      <c r="X285"/>
    </row>
    <row r="286" spans="2:24">
      <c r="B286" s="46" t="s">
        <v>639</v>
      </c>
      <c r="C286" s="46"/>
      <c r="D286" s="35">
        <v>0.39374999999999999</v>
      </c>
      <c r="E286" s="35">
        <v>0.39374999999999999</v>
      </c>
      <c r="F286" s="30">
        <v>0.46736111111111112</v>
      </c>
      <c r="G286" s="30">
        <v>0.46736111111111112</v>
      </c>
      <c r="H286" s="29" t="s">
        <v>37</v>
      </c>
      <c r="I286" s="37">
        <v>0.40069444444444446</v>
      </c>
      <c r="J286" s="29" t="s">
        <v>37</v>
      </c>
      <c r="K286" s="37">
        <v>0.46041666666666664</v>
      </c>
      <c r="L286" s="27" t="s">
        <v>529</v>
      </c>
      <c r="M286" s="30">
        <v>0.40486111111111112</v>
      </c>
      <c r="N286" s="30">
        <v>0.45833333333333331</v>
      </c>
      <c r="O286" s="30">
        <v>5.9722222222222225E-2</v>
      </c>
      <c r="P286" s="38">
        <v>18.600000000000001</v>
      </c>
      <c r="Q286" s="30">
        <v>5.9722222222222225E-2</v>
      </c>
      <c r="W286" s="29" t="s">
        <v>106</v>
      </c>
      <c r="X286"/>
    </row>
    <row r="287" spans="2:24">
      <c r="B287" s="46" t="s">
        <v>379</v>
      </c>
      <c r="C287" s="85"/>
      <c r="D287" s="35">
        <v>0.26180555555555557</v>
      </c>
      <c r="E287" s="35">
        <v>0.26180555555555557</v>
      </c>
      <c r="F287" s="30">
        <v>0.46736111111111112</v>
      </c>
      <c r="G287" s="30">
        <v>0.46736111111111112</v>
      </c>
      <c r="H287" s="29" t="s">
        <v>37</v>
      </c>
      <c r="I287" s="37">
        <v>0.2722222222222222</v>
      </c>
      <c r="J287" s="29" t="s">
        <v>37</v>
      </c>
      <c r="K287" s="37">
        <v>0.46041666666666664</v>
      </c>
      <c r="L287" s="27" t="s">
        <v>640</v>
      </c>
      <c r="M287" s="30">
        <v>0.2722222222222222</v>
      </c>
      <c r="N287" s="30">
        <v>0.45833333333333331</v>
      </c>
      <c r="O287" s="30">
        <v>0.16597222222222222</v>
      </c>
      <c r="P287" s="38">
        <v>72.099999999999994</v>
      </c>
      <c r="Q287" s="30">
        <v>0.18333333333333332</v>
      </c>
      <c r="R287" s="30"/>
      <c r="W287" s="29" t="s">
        <v>106</v>
      </c>
      <c r="X287"/>
    </row>
    <row r="288" spans="2:24">
      <c r="B288" s="46" t="s">
        <v>380</v>
      </c>
      <c r="C288" s="45"/>
      <c r="D288" s="35">
        <v>0.28472222222222221</v>
      </c>
      <c r="E288" s="35">
        <v>0.28472222222222221</v>
      </c>
      <c r="F288" s="30">
        <v>0.46736111111111112</v>
      </c>
      <c r="G288" s="30">
        <v>0.46736111111111112</v>
      </c>
      <c r="H288" s="29" t="s">
        <v>163</v>
      </c>
      <c r="I288" s="37">
        <v>0.2951388888888889</v>
      </c>
      <c r="J288" s="29" t="s">
        <v>37</v>
      </c>
      <c r="K288" s="37">
        <v>0.46041666666666664</v>
      </c>
      <c r="L288" s="27" t="s">
        <v>640</v>
      </c>
      <c r="M288" s="30">
        <v>0.2951388888888889</v>
      </c>
      <c r="N288" s="30">
        <v>0.45833333333333331</v>
      </c>
      <c r="O288" s="30" t="str">
        <f ca="1">IF($A$4="平日","2:33","2:19")</f>
        <v>2:19</v>
      </c>
      <c r="P288" s="38">
        <f ca="1">IF($A$4="平日",37.2,34.5)</f>
        <v>34.5</v>
      </c>
      <c r="Q288" s="30" t="str">
        <f ca="1">IF($A$4="平日","3:04","2:44")</f>
        <v>2:44</v>
      </c>
      <c r="W288" s="29" t="s">
        <v>106</v>
      </c>
      <c r="X288"/>
    </row>
    <row r="289" spans="2:24">
      <c r="B289" s="46" t="s">
        <v>497</v>
      </c>
      <c r="C289" s="46"/>
      <c r="D289" s="35">
        <v>0.2638888888888889</v>
      </c>
      <c r="E289" s="35">
        <v>0.2638888888888889</v>
      </c>
      <c r="F289" s="30">
        <v>0.37569444444444444</v>
      </c>
      <c r="G289" s="30">
        <v>0.37569444444444444</v>
      </c>
      <c r="H289" s="29" t="s">
        <v>37</v>
      </c>
      <c r="I289" s="37">
        <v>0.27430555555555558</v>
      </c>
      <c r="J289" s="29" t="s">
        <v>37</v>
      </c>
      <c r="K289" s="37">
        <v>0.36875000000000002</v>
      </c>
      <c r="L289" s="27" t="s">
        <v>111</v>
      </c>
      <c r="M289" s="30">
        <v>0.28333333333333333</v>
      </c>
      <c r="N289" s="30">
        <v>0.36180555555555555</v>
      </c>
      <c r="O289" s="30">
        <v>8.9583333333333334E-2</v>
      </c>
      <c r="P289" s="38">
        <v>33</v>
      </c>
      <c r="Q289" s="30">
        <v>9.4444444444444442E-2</v>
      </c>
      <c r="W289" s="29" t="s">
        <v>106</v>
      </c>
      <c r="X289"/>
    </row>
    <row r="290" spans="2:24">
      <c r="B290" s="46" t="s">
        <v>641</v>
      </c>
      <c r="C290" s="46"/>
      <c r="D290" s="30">
        <v>0.41597222222222224</v>
      </c>
      <c r="E290" s="30">
        <v>0.41597222222222224</v>
      </c>
      <c r="F290" s="30">
        <v>0.53611111111111109</v>
      </c>
      <c r="G290" s="30">
        <v>0.53611111111111109</v>
      </c>
      <c r="H290" s="29" t="s">
        <v>37</v>
      </c>
      <c r="I290" s="37">
        <v>0.42291666666666666</v>
      </c>
      <c r="J290" s="29" t="s">
        <v>37</v>
      </c>
      <c r="K290" s="37">
        <v>0.52916666666666667</v>
      </c>
      <c r="L290" s="27" t="s">
        <v>61</v>
      </c>
      <c r="M290" s="30">
        <v>0.43194444444444446</v>
      </c>
      <c r="N290" s="30">
        <v>0.52222222222222225</v>
      </c>
      <c r="O290" s="30">
        <v>0.10277777777777777</v>
      </c>
      <c r="P290" s="38">
        <v>45.9</v>
      </c>
      <c r="Q290" s="30">
        <v>0.10625</v>
      </c>
      <c r="W290" s="29" t="s">
        <v>106</v>
      </c>
      <c r="X290"/>
    </row>
    <row r="291" spans="2:24">
      <c r="B291" s="46" t="s">
        <v>642</v>
      </c>
      <c r="C291" s="46"/>
      <c r="D291" s="35">
        <v>0.64236111111111116</v>
      </c>
      <c r="E291" s="35">
        <v>0.64236111111111116</v>
      </c>
      <c r="F291" s="30">
        <v>0.76527777777777772</v>
      </c>
      <c r="G291" s="30">
        <v>0.76527777777777772</v>
      </c>
      <c r="H291" s="29" t="s">
        <v>37</v>
      </c>
      <c r="I291" s="37">
        <v>0.64930555555555558</v>
      </c>
      <c r="J291" s="29" t="s">
        <v>52</v>
      </c>
      <c r="K291" s="37">
        <v>0.7583333333333333</v>
      </c>
      <c r="L291" s="27" t="s">
        <v>61</v>
      </c>
      <c r="M291" s="30">
        <v>0.65833333333333333</v>
      </c>
      <c r="N291" s="30" t="s">
        <v>643</v>
      </c>
      <c r="O291" s="30">
        <v>9.5138888888888884E-2</v>
      </c>
      <c r="P291" s="38">
        <v>35.299999999999997</v>
      </c>
      <c r="Q291" s="30">
        <v>0.10416666666666667</v>
      </c>
      <c r="W291" s="29" t="s">
        <v>106</v>
      </c>
      <c r="X291"/>
    </row>
    <row r="292" spans="2:24">
      <c r="B292" s="46" t="s">
        <v>501</v>
      </c>
      <c r="C292" s="46"/>
      <c r="D292" s="35">
        <v>0.76388888888888884</v>
      </c>
      <c r="E292" s="35">
        <v>0.76388888888888884</v>
      </c>
      <c r="F292" s="30">
        <v>0.87638888888888888</v>
      </c>
      <c r="G292" s="30">
        <v>0.87638888888888888</v>
      </c>
      <c r="H292" s="29" t="s">
        <v>52</v>
      </c>
      <c r="I292" s="37">
        <v>0.77083333333333337</v>
      </c>
      <c r="J292" s="29" t="s">
        <v>37</v>
      </c>
      <c r="K292" s="37">
        <v>0.86944444444444446</v>
      </c>
      <c r="L292" s="27" t="s">
        <v>61</v>
      </c>
      <c r="M292" s="30">
        <v>0.77986111111111112</v>
      </c>
      <c r="N292" s="30">
        <v>0.86250000000000004</v>
      </c>
      <c r="O292" s="30">
        <v>8.8888888888888892E-2</v>
      </c>
      <c r="P292" s="38">
        <v>30.5</v>
      </c>
      <c r="Q292" s="30">
        <v>9.375E-2</v>
      </c>
      <c r="W292" s="29" t="s">
        <v>106</v>
      </c>
      <c r="X292"/>
    </row>
    <row r="293" spans="2:24">
      <c r="B293" s="46" t="s">
        <v>381</v>
      </c>
      <c r="C293" s="45"/>
      <c r="D293" s="30" t="str">
        <f ca="1">IF($A$4="平日","6:20","9:59")</f>
        <v>9:59</v>
      </c>
      <c r="E293" s="30" t="str">
        <f ca="1">IF($A$4="平日","6:20","9:59")</f>
        <v>9:59</v>
      </c>
      <c r="F293" s="30">
        <v>0.87638888888888888</v>
      </c>
      <c r="G293" s="30">
        <v>0.87638888888888888</v>
      </c>
      <c r="H293" s="29" t="s">
        <v>37</v>
      </c>
      <c r="I293" s="30" t="str">
        <f ca="1">IF($A$4="平日","6:35","10:09")</f>
        <v>10:09</v>
      </c>
      <c r="J293" s="29" t="s">
        <v>37</v>
      </c>
      <c r="K293" s="37">
        <v>0.86944444444444446</v>
      </c>
      <c r="L293" s="29" t="str">
        <f ca="1">IF($A$4="平日","429    1077","1077")</f>
        <v>1077</v>
      </c>
      <c r="M293" s="30" t="str">
        <f ca="1">IF($A$4="平日","6:48","10:22")</f>
        <v>10:22</v>
      </c>
      <c r="N293" s="30">
        <v>0.86250000000000004</v>
      </c>
      <c r="O293" s="30" t="str">
        <f ca="1">IF($A$4="平日","9:02","6:53")</f>
        <v>6:53</v>
      </c>
      <c r="P293" s="38">
        <f ca="1">IF($A$4="平日",144.7,111.7)</f>
        <v>111.7</v>
      </c>
      <c r="Q293" s="30" t="str">
        <f ca="1">IF($A$4="平日","10:19","7:58")</f>
        <v>7:58</v>
      </c>
      <c r="S293" s="27" t="s">
        <v>382</v>
      </c>
      <c r="T293" s="27" t="s">
        <v>383</v>
      </c>
      <c r="W293" s="29" t="s">
        <v>106</v>
      </c>
      <c r="X293"/>
    </row>
    <row r="294" spans="2:24">
      <c r="B294" s="46" t="s">
        <v>644</v>
      </c>
      <c r="D294" s="35">
        <v>0.30277777777777776</v>
      </c>
      <c r="E294" s="35">
        <v>0.30277777777777776</v>
      </c>
      <c r="F294" s="35">
        <v>0.36458333333333331</v>
      </c>
      <c r="G294" s="35">
        <v>0.36458333333333331</v>
      </c>
      <c r="H294" s="29" t="s">
        <v>37</v>
      </c>
      <c r="I294" s="37">
        <v>0.31319444444444444</v>
      </c>
      <c r="J294" s="29" t="s">
        <v>37</v>
      </c>
      <c r="K294" s="30">
        <v>0.3576388888888889</v>
      </c>
      <c r="L294" s="27" t="s">
        <v>112</v>
      </c>
      <c r="M294" s="30">
        <v>0.32222222222222224</v>
      </c>
      <c r="N294" s="37">
        <v>0.34027777777777779</v>
      </c>
      <c r="O294" s="30">
        <v>4.4444444444444446E-2</v>
      </c>
      <c r="P294" s="38">
        <v>19.2</v>
      </c>
      <c r="Q294" s="35">
        <v>4.4444444444444446E-2</v>
      </c>
      <c r="W294" s="29" t="s">
        <v>106</v>
      </c>
      <c r="X294"/>
    </row>
    <row r="295" spans="2:24">
      <c r="B295" s="46" t="s">
        <v>645</v>
      </c>
      <c r="C295" s="46"/>
      <c r="D295" s="35">
        <v>0.44930555555555557</v>
      </c>
      <c r="E295" s="35">
        <v>0.44930555555555557</v>
      </c>
      <c r="F295" s="35">
        <v>0.5229166666666667</v>
      </c>
      <c r="G295" s="35">
        <v>0.5229166666666667</v>
      </c>
      <c r="H295" s="29" t="s">
        <v>37</v>
      </c>
      <c r="I295" s="37">
        <v>0.45624999999999999</v>
      </c>
      <c r="J295" s="29" t="s">
        <v>37</v>
      </c>
      <c r="K295" s="37">
        <v>0.51597222222222228</v>
      </c>
      <c r="L295" s="27" t="s">
        <v>529</v>
      </c>
      <c r="M295" s="30">
        <v>0.46041666666666664</v>
      </c>
      <c r="N295" s="37">
        <v>0.51388888888888884</v>
      </c>
      <c r="O295" s="30">
        <v>5.9722222222222225E-2</v>
      </c>
      <c r="P295" s="38">
        <v>18.600000000000001</v>
      </c>
      <c r="Q295" s="35">
        <v>5.9722222222222225E-2</v>
      </c>
      <c r="W295" s="29" t="s">
        <v>106</v>
      </c>
      <c r="X295"/>
    </row>
    <row r="296" spans="2:24">
      <c r="B296" s="46" t="s">
        <v>646</v>
      </c>
      <c r="C296" s="46"/>
      <c r="D296" s="35">
        <v>0.52916666666666667</v>
      </c>
      <c r="E296" s="35">
        <v>0.52916666666666667</v>
      </c>
      <c r="F296" s="35">
        <v>0.62847222222222221</v>
      </c>
      <c r="G296" s="35">
        <v>0.62847222222222221</v>
      </c>
      <c r="H296" s="29" t="s">
        <v>37</v>
      </c>
      <c r="I296" s="37">
        <v>0.53611111111111109</v>
      </c>
      <c r="J296" s="29" t="s">
        <v>37</v>
      </c>
      <c r="K296" s="37">
        <v>0.62152777777777779</v>
      </c>
      <c r="L296" s="27" t="s">
        <v>171</v>
      </c>
      <c r="M296" s="30">
        <v>0.54513888888888884</v>
      </c>
      <c r="N296" s="37">
        <v>0.61458333333333337</v>
      </c>
      <c r="O296" s="30">
        <v>7.7083333333333337E-2</v>
      </c>
      <c r="P296" s="38">
        <v>29.4</v>
      </c>
      <c r="Q296" s="35">
        <v>8.5416666666666669E-2</v>
      </c>
      <c r="W296" s="29" t="s">
        <v>106</v>
      </c>
      <c r="X296"/>
    </row>
    <row r="297" spans="2:24">
      <c r="B297" s="46" t="s">
        <v>468</v>
      </c>
      <c r="C297" s="46"/>
      <c r="D297" s="35">
        <v>0.69513888888888886</v>
      </c>
      <c r="E297" s="35">
        <v>0.69513888888888886</v>
      </c>
      <c r="F297" s="35">
        <v>0.78541666666666665</v>
      </c>
      <c r="G297" s="35">
        <v>0.78541666666666665</v>
      </c>
      <c r="H297" s="29" t="s">
        <v>37</v>
      </c>
      <c r="I297" s="37">
        <v>0.70208333333333328</v>
      </c>
      <c r="J297" s="29" t="s">
        <v>37</v>
      </c>
      <c r="K297" s="37">
        <v>0.77847222222222223</v>
      </c>
      <c r="L297" s="27" t="s">
        <v>171</v>
      </c>
      <c r="M297" s="30">
        <v>0.70625000000000004</v>
      </c>
      <c r="N297" s="37">
        <v>0.77638888888888891</v>
      </c>
      <c r="O297" s="30">
        <v>7.2916666666666671E-2</v>
      </c>
      <c r="P297" s="38">
        <v>30.6</v>
      </c>
      <c r="Q297" s="35">
        <v>7.6388888888888895E-2</v>
      </c>
      <c r="W297" s="29" t="s">
        <v>106</v>
      </c>
      <c r="X297"/>
    </row>
    <row r="298" spans="2:24">
      <c r="B298" s="46" t="s">
        <v>384</v>
      </c>
      <c r="C298" s="46"/>
      <c r="D298" s="35">
        <v>0.79513888888888884</v>
      </c>
      <c r="E298" s="35">
        <v>0.79513888888888884</v>
      </c>
      <c r="F298" s="35">
        <v>0.84583333333333333</v>
      </c>
      <c r="G298" s="35">
        <v>0.84583333333333333</v>
      </c>
      <c r="H298" s="29" t="s">
        <v>37</v>
      </c>
      <c r="I298" s="37">
        <v>0.80208333333333337</v>
      </c>
      <c r="J298" s="29" t="s">
        <v>163</v>
      </c>
      <c r="K298" s="37">
        <v>0.83888888888888891</v>
      </c>
      <c r="L298" s="27" t="s">
        <v>171</v>
      </c>
      <c r="M298" s="30">
        <v>0.81111111111111112</v>
      </c>
      <c r="N298" s="37">
        <v>0.83888888888888891</v>
      </c>
      <c r="O298" s="30">
        <v>3.6805555555555557E-2</v>
      </c>
      <c r="P298" s="38">
        <v>15.9</v>
      </c>
      <c r="Q298" s="35">
        <v>3.6805555555555557E-2</v>
      </c>
      <c r="W298" s="29" t="s">
        <v>106</v>
      </c>
      <c r="X298"/>
    </row>
    <row r="299" spans="2:24">
      <c r="B299" s="46" t="s">
        <v>385</v>
      </c>
      <c r="C299" s="46"/>
      <c r="D299" s="35">
        <v>0.79513888888888884</v>
      </c>
      <c r="E299" s="35">
        <v>0.79513888888888884</v>
      </c>
      <c r="F299" s="35">
        <v>0.8666666666666667</v>
      </c>
      <c r="G299" s="35">
        <v>0.8666666666666667</v>
      </c>
      <c r="H299" s="29" t="s">
        <v>37</v>
      </c>
      <c r="I299" s="37">
        <v>0.80208333333333337</v>
      </c>
      <c r="J299" s="29" t="s">
        <v>37</v>
      </c>
      <c r="K299" s="37">
        <v>0.85972222222222228</v>
      </c>
      <c r="L299" s="27" t="s">
        <v>171</v>
      </c>
      <c r="M299" s="30">
        <v>0.81111111111111112</v>
      </c>
      <c r="N299" s="37">
        <v>0.85972222222222228</v>
      </c>
      <c r="O299" s="30">
        <v>5.7638888888888892E-2</v>
      </c>
      <c r="P299" s="38">
        <v>29.7</v>
      </c>
      <c r="Q299" s="35">
        <v>5.7638888888888892E-2</v>
      </c>
      <c r="W299" s="29" t="s">
        <v>106</v>
      </c>
      <c r="X299"/>
    </row>
    <row r="300" spans="2:24">
      <c r="B300" s="46" t="s">
        <v>386</v>
      </c>
      <c r="C300" s="85"/>
      <c r="D300" s="30" t="str">
        <f ca="1">IF($A$4="平日","7:16","10:47")</f>
        <v>10:47</v>
      </c>
      <c r="E300" s="30" t="str">
        <f ca="1">IF($A$4="平日","7:16","10:47")</f>
        <v>10:47</v>
      </c>
      <c r="F300" s="30">
        <v>0.8666666666666667</v>
      </c>
      <c r="G300" s="30">
        <v>0.8666666666666667</v>
      </c>
      <c r="H300" s="29" t="s">
        <v>37</v>
      </c>
      <c r="I300" s="30" t="str">
        <f ca="1">IF($A$4="平日","7:31","10:57")</f>
        <v>10:57</v>
      </c>
      <c r="J300" s="29" t="s">
        <v>37</v>
      </c>
      <c r="K300" s="37">
        <v>0.85972222222222228</v>
      </c>
      <c r="L300" s="29" t="str">
        <f ca="1">IF($A$4="平日","1053    1050    1056","1050    1056")</f>
        <v>1050    1056</v>
      </c>
      <c r="M300" s="30" t="str">
        <f ca="1">IF($A$4="平日","7:44","11:03")</f>
        <v>11:03</v>
      </c>
      <c r="N300" s="30">
        <v>0.85972222222222228</v>
      </c>
      <c r="O300" s="30" t="str">
        <f ca="1">IF($A$4="平日","7:29","6:25")</f>
        <v>6:25</v>
      </c>
      <c r="P300" s="39">
        <f ca="1">IF($A$4="平日",127.5,108.3)</f>
        <v>108.3</v>
      </c>
      <c r="Q300" s="30" t="str">
        <f ca="1">IF($A$4="平日","8:11","7:02")</f>
        <v>7:02</v>
      </c>
      <c r="W300" s="29" t="s">
        <v>106</v>
      </c>
      <c r="X300"/>
    </row>
    <row r="301" spans="2:24">
      <c r="B301" s="46" t="s">
        <v>387</v>
      </c>
      <c r="C301" s="45"/>
      <c r="D301" s="30" t="str">
        <f ca="1">IF($A$4="平日","7:16","10:47")</f>
        <v>10:47</v>
      </c>
      <c r="E301" s="30" t="str">
        <f ca="1">IF($A$4="平日","7:16","10:47")</f>
        <v>10:47</v>
      </c>
      <c r="F301" s="30">
        <v>0.84583333333333333</v>
      </c>
      <c r="G301" s="30">
        <v>0.84583333333333333</v>
      </c>
      <c r="H301" s="29" t="s">
        <v>37</v>
      </c>
      <c r="I301" s="30" t="str">
        <f ca="1">IF($A$4="平日","7:31","10:57")</f>
        <v>10:57</v>
      </c>
      <c r="J301" s="29" t="s">
        <v>163</v>
      </c>
      <c r="K301" s="37">
        <v>0.83888888888888891</v>
      </c>
      <c r="L301" s="29" t="str">
        <f ca="1">IF($A$4="平日","1053    1050    1056","1050    1056")</f>
        <v>1050    1056</v>
      </c>
      <c r="M301" s="30" t="str">
        <f ca="1">IF($A$4="平日","7:44","11:03")</f>
        <v>11:03</v>
      </c>
      <c r="N301" s="30">
        <v>0.83888888888888891</v>
      </c>
      <c r="O301" s="30" t="str">
        <f ca="1">IF($A$4="平日","6:59","5:55")</f>
        <v>5:55</v>
      </c>
      <c r="P301" s="39">
        <f ca="1">IF($A$4="平日",113.7,94.5)</f>
        <v>94.5</v>
      </c>
      <c r="Q301" s="30" t="str">
        <f ca="1">IF($A$4="平日","7:41","6:32")</f>
        <v>6:32</v>
      </c>
      <c r="W301" s="29" t="s">
        <v>106</v>
      </c>
      <c r="X301"/>
    </row>
    <row r="302" spans="2:24">
      <c r="B302" s="46" t="s">
        <v>647</v>
      </c>
      <c r="C302" s="46"/>
      <c r="D302" s="35">
        <v>0.2722222222222222</v>
      </c>
      <c r="E302" s="35">
        <v>0.2722222222222222</v>
      </c>
      <c r="F302" s="35">
        <v>0.33194444444444443</v>
      </c>
      <c r="G302" s="35">
        <v>0.33194444444444443</v>
      </c>
      <c r="H302" s="29" t="s">
        <v>163</v>
      </c>
      <c r="I302" s="37">
        <v>0.28263888888888888</v>
      </c>
      <c r="J302" s="29" t="s">
        <v>52</v>
      </c>
      <c r="K302" s="37">
        <v>0.32500000000000001</v>
      </c>
      <c r="L302" s="27" t="s">
        <v>171</v>
      </c>
      <c r="M302" s="30">
        <v>0.28263888888888888</v>
      </c>
      <c r="N302" s="37">
        <v>0.31805555555555554</v>
      </c>
      <c r="O302" s="30">
        <v>3.6111111111111108E-2</v>
      </c>
      <c r="P302" s="38">
        <v>14</v>
      </c>
      <c r="Q302" s="35">
        <v>3.6111111111111108E-2</v>
      </c>
      <c r="W302" s="29" t="s">
        <v>106</v>
      </c>
      <c r="X302"/>
    </row>
    <row r="303" spans="2:24">
      <c r="B303" s="46" t="s">
        <v>648</v>
      </c>
      <c r="C303" s="46"/>
      <c r="D303" s="35">
        <v>0.24930555555555556</v>
      </c>
      <c r="E303" s="35">
        <v>0.24930555555555556</v>
      </c>
      <c r="F303" s="35">
        <v>0.33194444444444443</v>
      </c>
      <c r="G303" s="35">
        <v>0.33194444444444443</v>
      </c>
      <c r="H303" s="29" t="s">
        <v>37</v>
      </c>
      <c r="I303" s="37">
        <v>0.25972222222222224</v>
      </c>
      <c r="J303" s="29" t="s">
        <v>52</v>
      </c>
      <c r="K303" s="37">
        <v>0.32500000000000001</v>
      </c>
      <c r="L303" s="27" t="s">
        <v>171</v>
      </c>
      <c r="M303" s="30">
        <v>0.25972222222222224</v>
      </c>
      <c r="N303" s="37">
        <v>0.31805555555555554</v>
      </c>
      <c r="O303" s="30">
        <v>5.9027777777777776E-2</v>
      </c>
      <c r="P303" s="38">
        <v>27.8</v>
      </c>
      <c r="Q303" s="35">
        <v>5.9027777777777776E-2</v>
      </c>
      <c r="W303" s="29" t="s">
        <v>106</v>
      </c>
      <c r="X303"/>
    </row>
    <row r="304" spans="2:24">
      <c r="B304" s="46" t="s">
        <v>649</v>
      </c>
      <c r="C304" s="46"/>
      <c r="D304" s="35">
        <v>0.31944444444444442</v>
      </c>
      <c r="E304" s="35">
        <v>0.31944444444444442</v>
      </c>
      <c r="F304" s="35">
        <v>0.42152777777777778</v>
      </c>
      <c r="G304" s="35">
        <v>0.42152777777777778</v>
      </c>
      <c r="H304" s="29" t="s">
        <v>52</v>
      </c>
      <c r="I304" s="37">
        <v>0.3263888888888889</v>
      </c>
      <c r="J304" s="29" t="s">
        <v>37</v>
      </c>
      <c r="K304" s="37">
        <v>0.41458333333333336</v>
      </c>
      <c r="L304" s="27" t="s">
        <v>171</v>
      </c>
      <c r="M304" s="30">
        <v>0.33541666666666664</v>
      </c>
      <c r="N304" s="37">
        <v>0.41458333333333336</v>
      </c>
      <c r="O304" s="30">
        <v>6.7361111111111108E-2</v>
      </c>
      <c r="P304" s="38">
        <v>24.1</v>
      </c>
      <c r="Q304" s="35">
        <v>6.7361111111111108E-2</v>
      </c>
      <c r="W304" s="29" t="s">
        <v>106</v>
      </c>
      <c r="X304"/>
    </row>
    <row r="305" spans="2:24">
      <c r="B305" s="46" t="s">
        <v>388</v>
      </c>
      <c r="C305" s="85"/>
      <c r="D305" s="35">
        <v>0.24930555555555556</v>
      </c>
      <c r="E305" s="35">
        <v>0.24930555555555556</v>
      </c>
      <c r="F305" s="35">
        <v>0.42152777777777778</v>
      </c>
      <c r="G305" s="35">
        <v>0.42152777777777778</v>
      </c>
      <c r="H305" s="29" t="s">
        <v>37</v>
      </c>
      <c r="I305" s="37">
        <v>0.25972222222222224</v>
      </c>
      <c r="J305" s="29" t="s">
        <v>37</v>
      </c>
      <c r="K305" s="37">
        <v>0.41458333333333336</v>
      </c>
      <c r="L305" s="27" t="s">
        <v>171</v>
      </c>
      <c r="M305" s="30">
        <v>0.25972222222222224</v>
      </c>
      <c r="N305" s="37">
        <v>0.41458333333333336</v>
      </c>
      <c r="O305" s="30">
        <v>0.12638888888888888</v>
      </c>
      <c r="P305" s="38">
        <v>51.9</v>
      </c>
      <c r="Q305" s="35">
        <v>0.14374999999999999</v>
      </c>
      <c r="W305" s="29" t="s">
        <v>106</v>
      </c>
      <c r="X305"/>
    </row>
    <row r="306" spans="2:24">
      <c r="B306" s="46" t="s">
        <v>389</v>
      </c>
      <c r="C306" s="45"/>
      <c r="D306" s="35">
        <v>0.2722222222222222</v>
      </c>
      <c r="E306" s="35">
        <v>0.2722222222222222</v>
      </c>
      <c r="F306" s="35">
        <v>0.42152777777777778</v>
      </c>
      <c r="G306" s="35">
        <v>0.42152777777777778</v>
      </c>
      <c r="H306" s="29" t="s">
        <v>163</v>
      </c>
      <c r="I306" s="37">
        <v>0.28263888888888888</v>
      </c>
      <c r="J306" s="29" t="s">
        <v>37</v>
      </c>
      <c r="K306" s="37">
        <v>0.41458333333333336</v>
      </c>
      <c r="L306" s="27" t="s">
        <v>171</v>
      </c>
      <c r="M306" s="30">
        <v>0.28263888888888888</v>
      </c>
      <c r="N306" s="37">
        <v>0.41458333333333336</v>
      </c>
      <c r="O306" s="30">
        <v>0.10347222222222222</v>
      </c>
      <c r="P306" s="38">
        <v>38.1</v>
      </c>
      <c r="Q306" s="35">
        <v>0.12083333333333333</v>
      </c>
      <c r="R306" s="39">
        <f ca="1">IF($A$4="平日",113.7,94.5)</f>
        <v>94.5</v>
      </c>
      <c r="W306" s="29" t="s">
        <v>106</v>
      </c>
      <c r="X306"/>
    </row>
    <row r="307" spans="2:24">
      <c r="K307" s="36"/>
      <c r="W307" s="29"/>
      <c r="X307"/>
    </row>
    <row r="308" spans="2:24">
      <c r="B308" s="46" t="s">
        <v>498</v>
      </c>
      <c r="C308" s="46"/>
      <c r="D308" s="35">
        <v>0.25763888888888886</v>
      </c>
      <c r="E308" s="35">
        <v>0.25763888888888886</v>
      </c>
      <c r="F308" s="35">
        <v>0.38472222222222224</v>
      </c>
      <c r="G308" s="35">
        <v>0.38472222222222224</v>
      </c>
      <c r="H308" s="29" t="s">
        <v>37</v>
      </c>
      <c r="I308" s="37">
        <v>0.26805555555555555</v>
      </c>
      <c r="J308" s="29" t="s">
        <v>37</v>
      </c>
      <c r="K308" s="37">
        <v>0.37777777777777777</v>
      </c>
      <c r="L308" s="27" t="s">
        <v>174</v>
      </c>
      <c r="M308" s="30">
        <v>0.27708333333333335</v>
      </c>
      <c r="N308" s="37">
        <v>0.37083333333333335</v>
      </c>
      <c r="O308" s="30">
        <v>9.6527777777777782E-2</v>
      </c>
      <c r="P308" s="38">
        <v>34.700000000000003</v>
      </c>
      <c r="Q308" s="35">
        <v>9.6527777777777782E-2</v>
      </c>
      <c r="W308" s="29" t="s">
        <v>106</v>
      </c>
      <c r="X308"/>
    </row>
    <row r="309" spans="2:24">
      <c r="B309" s="46" t="s">
        <v>542</v>
      </c>
      <c r="C309" s="46"/>
      <c r="D309" s="35">
        <v>0.42152777777777778</v>
      </c>
      <c r="E309" s="35">
        <v>0.42152777777777778</v>
      </c>
      <c r="F309" s="35">
        <v>0.49513888888888891</v>
      </c>
      <c r="G309" s="35">
        <v>0.49513888888888891</v>
      </c>
      <c r="H309" s="29" t="s">
        <v>37</v>
      </c>
      <c r="I309" s="37">
        <v>0.4284722222222222</v>
      </c>
      <c r="J309" s="29" t="s">
        <v>37</v>
      </c>
      <c r="K309" s="37">
        <v>0.48819444444444443</v>
      </c>
      <c r="L309" s="27" t="s">
        <v>62</v>
      </c>
      <c r="M309" s="30">
        <v>0.43263888888888891</v>
      </c>
      <c r="N309" s="37">
        <v>0.4861111111111111</v>
      </c>
      <c r="O309" s="30">
        <v>5.9722222222222225E-2</v>
      </c>
      <c r="P309" s="38">
        <v>18.600000000000001</v>
      </c>
      <c r="Q309" s="35">
        <v>5.9722222222222225E-2</v>
      </c>
      <c r="W309" s="29" t="s">
        <v>106</v>
      </c>
      <c r="X309"/>
    </row>
    <row r="310" spans="2:24">
      <c r="B310" s="46" t="s">
        <v>390</v>
      </c>
      <c r="C310" s="46"/>
      <c r="D310" s="35">
        <v>0.53472222222222221</v>
      </c>
      <c r="E310" s="35">
        <v>0.53472222222222221</v>
      </c>
      <c r="F310" s="35">
        <v>0.62013888888888891</v>
      </c>
      <c r="G310" s="35">
        <v>0.62013888888888891</v>
      </c>
      <c r="H310" s="29" t="s">
        <v>37</v>
      </c>
      <c r="I310" s="37">
        <v>0.54166666666666663</v>
      </c>
      <c r="J310" s="29" t="s">
        <v>37</v>
      </c>
      <c r="K310" s="37">
        <v>0.61319444444444449</v>
      </c>
      <c r="L310" s="27" t="s">
        <v>119</v>
      </c>
      <c r="M310" s="30">
        <v>0.55069444444444449</v>
      </c>
      <c r="N310" s="37">
        <v>0.60624999999999996</v>
      </c>
      <c r="O310" s="30">
        <v>6.6666666666666666E-2</v>
      </c>
      <c r="P310" s="38">
        <v>23.8</v>
      </c>
      <c r="Q310" s="35">
        <v>7.1527777777777773E-2</v>
      </c>
      <c r="R310" s="38"/>
      <c r="W310" s="29" t="s">
        <v>106</v>
      </c>
      <c r="X310"/>
    </row>
    <row r="311" spans="2:24">
      <c r="B311" s="46" t="s">
        <v>650</v>
      </c>
      <c r="C311" s="46"/>
      <c r="D311" s="35">
        <v>0.67152777777777772</v>
      </c>
      <c r="E311" s="35">
        <v>0.67152777777777772</v>
      </c>
      <c r="F311" s="35">
        <v>0.7944444444444444</v>
      </c>
      <c r="G311" s="35">
        <v>0.7944444444444444</v>
      </c>
      <c r="H311" s="29" t="s">
        <v>37</v>
      </c>
      <c r="I311" s="37">
        <v>0.67847222222222225</v>
      </c>
      <c r="J311" s="29" t="s">
        <v>52</v>
      </c>
      <c r="K311" s="37">
        <v>0.78749999999999998</v>
      </c>
      <c r="L311" s="27" t="s">
        <v>119</v>
      </c>
      <c r="M311" s="30">
        <v>0.6875</v>
      </c>
      <c r="N311" s="37">
        <v>0.78055555555555556</v>
      </c>
      <c r="O311" s="30">
        <v>9.5138888888888884E-2</v>
      </c>
      <c r="P311" s="38">
        <v>35.299999999999997</v>
      </c>
      <c r="Q311" s="35">
        <v>0.10416666666666667</v>
      </c>
      <c r="W311" s="29" t="s">
        <v>106</v>
      </c>
      <c r="X311"/>
    </row>
    <row r="312" spans="2:24">
      <c r="B312" s="46" t="s">
        <v>651</v>
      </c>
      <c r="C312" s="46"/>
      <c r="D312" s="35">
        <v>0.78819444444444442</v>
      </c>
      <c r="E312" s="35">
        <v>0.78819444444444442</v>
      </c>
      <c r="F312" s="35">
        <v>0.84791666666666665</v>
      </c>
      <c r="G312" s="35">
        <v>0.84791666666666665</v>
      </c>
      <c r="H312" s="29" t="s">
        <v>52</v>
      </c>
      <c r="I312" s="37">
        <v>0.79513888888888884</v>
      </c>
      <c r="J312" s="29" t="s">
        <v>435</v>
      </c>
      <c r="K312" s="37">
        <v>0.84097222222222223</v>
      </c>
      <c r="L312" s="27" t="s">
        <v>119</v>
      </c>
      <c r="M312" s="30">
        <v>0.8041666666666667</v>
      </c>
      <c r="N312" s="37">
        <v>0.84097222222222223</v>
      </c>
      <c r="O312" s="30">
        <v>4.0972222222222222E-2</v>
      </c>
      <c r="P312" s="38">
        <v>16.399999999999999</v>
      </c>
      <c r="Q312" s="35">
        <v>4.0972222222222222E-2</v>
      </c>
      <c r="W312" s="29" t="s">
        <v>106</v>
      </c>
      <c r="X312"/>
    </row>
    <row r="313" spans="2:24">
      <c r="B313" s="46" t="s">
        <v>652</v>
      </c>
      <c r="C313" s="46"/>
      <c r="D313" s="35">
        <v>0.78819444444444442</v>
      </c>
      <c r="E313" s="35">
        <v>0.78819444444444442</v>
      </c>
      <c r="F313" s="35">
        <v>0.87222222222222223</v>
      </c>
      <c r="G313" s="35">
        <v>0.87222222222222223</v>
      </c>
      <c r="H313" s="29" t="s">
        <v>52</v>
      </c>
      <c r="I313" s="37">
        <v>0.79513888888888884</v>
      </c>
      <c r="J313" s="29" t="s">
        <v>37</v>
      </c>
      <c r="K313" s="37">
        <v>0.86527777777777781</v>
      </c>
      <c r="L313" s="27" t="s">
        <v>119</v>
      </c>
      <c r="M313" s="30">
        <v>0.8041666666666667</v>
      </c>
      <c r="N313" s="37">
        <v>0.86527777777777781</v>
      </c>
      <c r="O313" s="30">
        <v>6.5277777777777782E-2</v>
      </c>
      <c r="P313" s="38">
        <v>28.4</v>
      </c>
      <c r="Q313" s="35">
        <v>6.5277777777777782E-2</v>
      </c>
      <c r="W313" s="29" t="s">
        <v>106</v>
      </c>
      <c r="X313"/>
    </row>
    <row r="314" spans="2:24">
      <c r="B314" s="46" t="s">
        <v>391</v>
      </c>
      <c r="C314" s="85"/>
      <c r="D314" s="30" t="str">
        <f ca="1">IF($A$4="平日","6:11","10:07")</f>
        <v>10:07</v>
      </c>
      <c r="E314" s="30" t="str">
        <f ca="1">IF($A$4="平日","6:11","10:07")</f>
        <v>10:07</v>
      </c>
      <c r="F314" s="30">
        <v>0.87222222222222223</v>
      </c>
      <c r="G314" s="30">
        <v>0.87222222222222223</v>
      </c>
      <c r="H314" s="29" t="s">
        <v>37</v>
      </c>
      <c r="I314" s="30" t="str">
        <f ca="1">IF($A$4="平日","6:26","10:17")</f>
        <v>10:17</v>
      </c>
      <c r="J314" s="29" t="s">
        <v>37</v>
      </c>
      <c r="K314" s="37">
        <v>0.86527777777777781</v>
      </c>
      <c r="L314" s="29" t="str">
        <f ca="1">IF($A$4="平日","1008     1588     1065","1588     1065")</f>
        <v>1588     1065</v>
      </c>
      <c r="M314" s="30" t="str">
        <f ca="1">IF($A$4="平日","6:39","10:23")</f>
        <v>10:23</v>
      </c>
      <c r="N314" s="30">
        <v>0.86527777777777781</v>
      </c>
      <c r="O314" s="30" t="str">
        <f ca="1">IF($A$4="平日","9:12","6:53")</f>
        <v>6:53</v>
      </c>
      <c r="P314" s="39">
        <f ca="1">IF($A$4="平日",140.8,106.1)</f>
        <v>106.1</v>
      </c>
      <c r="Q314" s="30" t="str">
        <f ca="1">IF($A$4="平日","9:57","7:33")</f>
        <v>7:33</v>
      </c>
      <c r="W314" s="29" t="s">
        <v>106</v>
      </c>
      <c r="X314"/>
    </row>
    <row r="315" spans="2:24">
      <c r="B315" s="46" t="s">
        <v>392</v>
      </c>
      <c r="C315" s="45"/>
      <c r="D315" s="30" t="str">
        <f ca="1">IF($A$4="平日","6:11","10:07")</f>
        <v>10:07</v>
      </c>
      <c r="E315" s="30" t="str">
        <f ca="1">IF($A$4="平日","6:11","10:07")</f>
        <v>10:07</v>
      </c>
      <c r="F315" s="30">
        <v>0.84791666666666665</v>
      </c>
      <c r="G315" s="30">
        <v>0.84791666666666665</v>
      </c>
      <c r="H315" s="29" t="s">
        <v>37</v>
      </c>
      <c r="I315" s="30" t="str">
        <f ca="1">IF($A$4="平日","6:26","10:17")</f>
        <v>10:17</v>
      </c>
      <c r="J315" s="29" t="s">
        <v>436</v>
      </c>
      <c r="K315" s="37">
        <v>0.84097222222222223</v>
      </c>
      <c r="L315" s="29" t="str">
        <f ca="1">IF($A$4="平日","1008     1588     1065","1588     1065")</f>
        <v>1588     1065</v>
      </c>
      <c r="M315" s="30" t="str">
        <f ca="1">IF($A$4="平日","6:39","10:23")</f>
        <v>10:23</v>
      </c>
      <c r="N315" s="30">
        <v>0.84097222222222223</v>
      </c>
      <c r="O315" s="30" t="str">
        <f ca="1">IF($A$4="平日","8:37","6:18")</f>
        <v>6:18</v>
      </c>
      <c r="P315" s="39">
        <f ca="1">IF($A$4="平日",128.8,94.1)</f>
        <v>94.1</v>
      </c>
      <c r="Q315" s="30" t="str">
        <f ca="1">IF($A$4="平日","9:22","6:58")</f>
        <v>6:58</v>
      </c>
      <c r="W315" s="29" t="s">
        <v>106</v>
      </c>
      <c r="X315"/>
    </row>
    <row r="316" spans="2:24">
      <c r="B316" s="46" t="s">
        <v>393</v>
      </c>
      <c r="C316" s="46"/>
      <c r="D316" s="35">
        <v>0.26180555555555557</v>
      </c>
      <c r="E316" s="35">
        <v>0.26180555555555557</v>
      </c>
      <c r="F316" s="35">
        <v>0.32291666666666669</v>
      </c>
      <c r="G316" s="35">
        <v>0.32291666666666669</v>
      </c>
      <c r="H316" s="29" t="s">
        <v>436</v>
      </c>
      <c r="I316" s="37">
        <v>0.2722222222222222</v>
      </c>
      <c r="J316" s="30" t="str">
        <f ca="1">IF($A$4="平日","北    浜","本    社")</f>
        <v>本    社</v>
      </c>
      <c r="K316" s="30">
        <v>0.31597222222222221</v>
      </c>
      <c r="L316" s="27" t="s">
        <v>119</v>
      </c>
      <c r="M316" s="30">
        <v>0.2722222222222222</v>
      </c>
      <c r="N316" s="37">
        <v>0.30902777777777779</v>
      </c>
      <c r="O316" s="30" t="str">
        <f ca="1">IF($A$4="平日","0:56","1:03")</f>
        <v>1:03</v>
      </c>
      <c r="P316" s="39">
        <f ca="1">IF($A$4="平日",16.4,18.9)</f>
        <v>18.899999999999999</v>
      </c>
      <c r="Q316" s="30" t="str">
        <f ca="1">IF($A$4="平日","0:56","1:03")</f>
        <v>1:03</v>
      </c>
      <c r="W316" s="29" t="s">
        <v>106</v>
      </c>
      <c r="X316"/>
    </row>
    <row r="317" spans="2:24">
      <c r="B317" s="46" t="s">
        <v>394</v>
      </c>
      <c r="C317" s="46"/>
      <c r="D317" s="35">
        <v>0.23541666666666666</v>
      </c>
      <c r="E317" s="35">
        <v>0.23541666666666666</v>
      </c>
      <c r="F317" s="35">
        <v>0.32291666666666669</v>
      </c>
      <c r="G317" s="35">
        <v>0.32291666666666669</v>
      </c>
      <c r="H317" s="29" t="s">
        <v>37</v>
      </c>
      <c r="I317" s="37">
        <v>0.24583333333333332</v>
      </c>
      <c r="J317" s="29" t="s">
        <v>52</v>
      </c>
      <c r="K317" s="37">
        <v>0.31597222222222221</v>
      </c>
      <c r="L317" s="27" t="s">
        <v>119</v>
      </c>
      <c r="M317" s="30">
        <v>0.24583333333333332</v>
      </c>
      <c r="N317" s="37">
        <v>0.30902777777777779</v>
      </c>
      <c r="O317" s="30">
        <v>6.5277777777777782E-2</v>
      </c>
      <c r="P317" s="38">
        <v>28.4</v>
      </c>
      <c r="Q317" s="35">
        <v>6.5277777777777782E-2</v>
      </c>
      <c r="W317" s="29" t="s">
        <v>106</v>
      </c>
      <c r="X317"/>
    </row>
    <row r="318" spans="2:24">
      <c r="B318" s="46" t="s">
        <v>653</v>
      </c>
      <c r="D318" s="35">
        <v>0.31180555555555556</v>
      </c>
      <c r="E318" s="35">
        <v>0.31180555555555556</v>
      </c>
      <c r="F318" s="35">
        <v>0.34513888888888888</v>
      </c>
      <c r="G318" s="35">
        <v>0.34513888888888888</v>
      </c>
      <c r="H318" s="29" t="s">
        <v>52</v>
      </c>
      <c r="I318" s="36">
        <v>0.31874999999999998</v>
      </c>
      <c r="J318" s="29" t="s">
        <v>37</v>
      </c>
      <c r="K318" s="37">
        <v>0.33819444444444446</v>
      </c>
      <c r="L318" s="27" t="s">
        <v>119</v>
      </c>
      <c r="M318" s="35">
        <v>0.32777777777777778</v>
      </c>
      <c r="N318" s="36">
        <v>0.33819444444444446</v>
      </c>
      <c r="O318" s="36">
        <v>1.4583333333333334E-2</v>
      </c>
      <c r="P318" s="38">
        <v>5.2</v>
      </c>
      <c r="Q318" s="35">
        <v>1.4583333333333334E-2</v>
      </c>
      <c r="W318" s="29" t="s">
        <v>106</v>
      </c>
      <c r="X318"/>
    </row>
    <row r="319" spans="2:24">
      <c r="B319" s="46" t="s">
        <v>395</v>
      </c>
      <c r="C319" s="85"/>
      <c r="D319" s="35">
        <v>0.23541666666666666</v>
      </c>
      <c r="E319" s="35">
        <v>0.23541666666666666</v>
      </c>
      <c r="F319" s="30" t="str">
        <f ca="1">IF($A$4="平日","8:17","7:45")</f>
        <v>7:45</v>
      </c>
      <c r="G319" s="30" t="str">
        <f ca="1">IF($A$4="平日","8:17","7:45")</f>
        <v>7:45</v>
      </c>
      <c r="H319" s="29" t="s">
        <v>37</v>
      </c>
      <c r="I319" s="37">
        <v>0.24583333333333332</v>
      </c>
      <c r="J319" s="29" t="s">
        <v>37</v>
      </c>
      <c r="K319" s="30" t="str">
        <f ca="1">IF($A$4="平日","8:07","7:35")</f>
        <v>7:35</v>
      </c>
      <c r="L319" s="28" t="s">
        <v>119</v>
      </c>
      <c r="M319" s="30">
        <v>0.24583333333333332</v>
      </c>
      <c r="N319" s="30" t="str">
        <f ca="1">IF($A$4="平日","8:07","7:25")</f>
        <v>7:25</v>
      </c>
      <c r="O319" s="30" t="str">
        <f ca="1">IF($A$4="平日","1:55","1:41")</f>
        <v>1:41</v>
      </c>
      <c r="P319" s="39">
        <f ca="1">IF($A$4="平日",33.6,30.9)</f>
        <v>30.9</v>
      </c>
      <c r="Q319" s="30" t="str">
        <f ca="1">IF($A$4="平日","2:20","2:06")</f>
        <v>2:06</v>
      </c>
      <c r="W319" s="29" t="s">
        <v>106</v>
      </c>
      <c r="X319"/>
    </row>
    <row r="320" spans="2:24">
      <c r="B320" s="46" t="s">
        <v>396</v>
      </c>
      <c r="C320" s="45"/>
      <c r="D320" s="35">
        <v>0.26180555555555557</v>
      </c>
      <c r="E320" s="35">
        <v>0.26180555555555557</v>
      </c>
      <c r="F320" s="30" t="str">
        <f ca="1">IF($A$4="平日","8:17","7:45")</f>
        <v>7:45</v>
      </c>
      <c r="G320" s="30" t="str">
        <f ca="1">IF($A$4="平日","8:17","7:45")</f>
        <v>7:45</v>
      </c>
      <c r="H320" s="29" t="s">
        <v>436</v>
      </c>
      <c r="I320" s="37">
        <v>0.2722222222222222</v>
      </c>
      <c r="J320" s="29" t="s">
        <v>37</v>
      </c>
      <c r="K320" s="30" t="str">
        <f ca="1">IF($A$4="平日","8:07","7:35")</f>
        <v>7:35</v>
      </c>
      <c r="L320" s="28" t="s">
        <v>119</v>
      </c>
      <c r="M320" s="30">
        <v>0.2722222222222222</v>
      </c>
      <c r="N320" s="30" t="str">
        <f ca="1">IF($A$4="平日","8:07","7:25")</f>
        <v>7:25</v>
      </c>
      <c r="O320" s="30" t="str">
        <f ca="1">IF($A$4="平日","1:17","1:03")</f>
        <v>1:03</v>
      </c>
      <c r="P320" s="39">
        <f ca="1">IF($A$4="平日",21.6,18.9)</f>
        <v>18.899999999999999</v>
      </c>
      <c r="Q320" s="30" t="str">
        <f ca="1">IF($A$4="平日","1:42","1:28")</f>
        <v>1:28</v>
      </c>
      <c r="W320" s="29" t="s">
        <v>106</v>
      </c>
      <c r="X320"/>
    </row>
    <row r="321" spans="2:24">
      <c r="B321" s="46" t="s">
        <v>397</v>
      </c>
      <c r="C321" s="46"/>
      <c r="D321" s="35">
        <v>0.25486111111111109</v>
      </c>
      <c r="E321" s="35">
        <v>0.25486111111111109</v>
      </c>
      <c r="F321" s="35">
        <v>0.37291666666666667</v>
      </c>
      <c r="G321" s="35">
        <v>0.37291666666666667</v>
      </c>
      <c r="H321" s="29" t="s">
        <v>37</v>
      </c>
      <c r="I321" s="37">
        <v>0.26527777777777778</v>
      </c>
      <c r="J321" s="29" t="s">
        <v>37</v>
      </c>
      <c r="K321" s="37">
        <v>0.3659722222222222</v>
      </c>
      <c r="L321" s="27" t="s">
        <v>167</v>
      </c>
      <c r="M321" s="30">
        <v>0.27430555555555558</v>
      </c>
      <c r="N321" s="37">
        <v>0.35902777777777778</v>
      </c>
      <c r="O321" s="30">
        <v>9.2361111111111116E-2</v>
      </c>
      <c r="P321" s="38">
        <v>30.6</v>
      </c>
      <c r="Q321" s="35">
        <v>0.10069444444444445</v>
      </c>
      <c r="W321" s="29" t="s">
        <v>106</v>
      </c>
      <c r="X321"/>
    </row>
    <row r="322" spans="2:24">
      <c r="B322" s="46" t="s">
        <v>654</v>
      </c>
      <c r="C322" s="46"/>
      <c r="D322" s="30" t="str">
        <f ca="1">IF($A$4="平日","10:51","10:46")</f>
        <v>10:46</v>
      </c>
      <c r="E322" s="30" t="str">
        <f ca="1">IF($A$4="平日","10:51","10:46")</f>
        <v>10:46</v>
      </c>
      <c r="F322" s="35">
        <v>0.53541666666666665</v>
      </c>
      <c r="G322" s="35">
        <v>0.53541666666666665</v>
      </c>
      <c r="H322" s="29" t="s">
        <v>37</v>
      </c>
      <c r="I322" s="30">
        <v>0.45902777777777776</v>
      </c>
      <c r="J322" s="29" t="s">
        <v>37</v>
      </c>
      <c r="K322" s="37">
        <v>0.52847222222222223</v>
      </c>
      <c r="L322" s="27" t="s">
        <v>167</v>
      </c>
      <c r="M322" s="30">
        <v>0.46805555555555556</v>
      </c>
      <c r="N322" s="37">
        <v>0.52152777777777781</v>
      </c>
      <c r="O322" s="30">
        <v>6.3194444444444442E-2</v>
      </c>
      <c r="P322" s="38">
        <v>25</v>
      </c>
      <c r="Q322" s="30">
        <v>6.9444444444444448E-2</v>
      </c>
      <c r="W322" s="29" t="s">
        <v>106</v>
      </c>
      <c r="X322"/>
    </row>
    <row r="323" spans="2:24">
      <c r="B323" s="46" t="s">
        <v>655</v>
      </c>
      <c r="C323" s="46"/>
      <c r="D323" s="35">
        <v>0.56736111111111109</v>
      </c>
      <c r="E323" s="35">
        <v>0.56736111111111109</v>
      </c>
      <c r="F323" s="35">
        <v>0.6791666666666667</v>
      </c>
      <c r="G323" s="35">
        <v>0.6791666666666667</v>
      </c>
      <c r="H323" s="29" t="s">
        <v>37</v>
      </c>
      <c r="I323" s="37">
        <v>0.57430555555555551</v>
      </c>
      <c r="J323" s="29" t="s">
        <v>37</v>
      </c>
      <c r="K323" s="37">
        <v>0.67222222222222228</v>
      </c>
      <c r="L323" s="27" t="s">
        <v>167</v>
      </c>
      <c r="M323" s="30">
        <v>0.58333333333333337</v>
      </c>
      <c r="N323" s="37">
        <v>0.66527777777777775</v>
      </c>
      <c r="O323" s="30">
        <v>9.2361111111111116E-2</v>
      </c>
      <c r="P323" s="38">
        <v>42.8</v>
      </c>
      <c r="Q323" s="35">
        <v>9.7916666666666666E-2</v>
      </c>
      <c r="W323" s="29" t="s">
        <v>106</v>
      </c>
      <c r="X323"/>
    </row>
    <row r="324" spans="2:24">
      <c r="B324" s="46" t="s">
        <v>656</v>
      </c>
      <c r="C324" s="46"/>
      <c r="D324" s="35">
        <v>0.69513888888888886</v>
      </c>
      <c r="E324" s="35">
        <v>0.69513888888888886</v>
      </c>
      <c r="F324" s="35">
        <v>0.84652777777777777</v>
      </c>
      <c r="G324" s="35">
        <v>0.84652777777777777</v>
      </c>
      <c r="H324" s="29" t="s">
        <v>37</v>
      </c>
      <c r="I324" s="37">
        <v>0.70208333333333328</v>
      </c>
      <c r="J324" s="29" t="s">
        <v>37</v>
      </c>
      <c r="K324" s="37">
        <v>0.83958333333333335</v>
      </c>
      <c r="L324" s="27" t="s">
        <v>167</v>
      </c>
      <c r="M324" s="30">
        <v>0.70972222222222225</v>
      </c>
      <c r="N324" s="37">
        <v>0.83402777777777781</v>
      </c>
      <c r="O324" s="30">
        <v>0.12847222222222221</v>
      </c>
      <c r="P324" s="38">
        <v>59.2</v>
      </c>
      <c r="Q324" s="35">
        <v>0.13750000000000001</v>
      </c>
      <c r="W324" s="29" t="s">
        <v>106</v>
      </c>
      <c r="X324"/>
    </row>
    <row r="325" spans="2:24">
      <c r="B325" s="46" t="s">
        <v>398</v>
      </c>
      <c r="C325" s="45"/>
      <c r="D325" s="30" t="str">
        <f ca="1">IF($A$4="平日","6:07","10:46")</f>
        <v>10:46</v>
      </c>
      <c r="E325" s="30" t="str">
        <f ca="1">IF($A$4="平日","6:07","10:46")</f>
        <v>10:46</v>
      </c>
      <c r="F325" s="30">
        <v>0.84652777777777777</v>
      </c>
      <c r="G325" s="30">
        <v>0.84652777777777777</v>
      </c>
      <c r="H325" s="29" t="s">
        <v>37</v>
      </c>
      <c r="I325" s="30" t="str">
        <f ca="1">IF($A$4="平日","6:22","11:01")</f>
        <v>11:01</v>
      </c>
      <c r="J325" s="29" t="s">
        <v>37</v>
      </c>
      <c r="K325" s="37">
        <v>0.83958333333333335</v>
      </c>
      <c r="L325" s="29" t="str">
        <f ca="1">IF($A$4="平日","1006     495","495")</f>
        <v>495</v>
      </c>
      <c r="M325" s="30" t="str">
        <f ca="1">IF($A$4="平日","6:35","11:14")</f>
        <v>11:14</v>
      </c>
      <c r="N325" s="30">
        <v>0.83402777777777781</v>
      </c>
      <c r="O325" s="30" t="str">
        <f ca="1">IF($A$4="平日","9:02","6:49")</f>
        <v>6:49</v>
      </c>
      <c r="P325" s="39">
        <f ca="1">IF($A$4="平日",157.6,127)</f>
        <v>127</v>
      </c>
      <c r="Q325" s="30" t="str">
        <f ca="1">IF($A$4="平日","10:09","7:44")</f>
        <v>7:44</v>
      </c>
      <c r="W325" s="29" t="s">
        <v>106</v>
      </c>
      <c r="X325"/>
    </row>
    <row r="326" spans="2:24">
      <c r="B326" s="46" t="s">
        <v>657</v>
      </c>
      <c r="C326" s="25"/>
      <c r="D326" s="35">
        <v>0.25972222222222224</v>
      </c>
      <c r="E326" s="35">
        <v>0.25972222222222224</v>
      </c>
      <c r="F326" s="35">
        <v>0.3972222222222222</v>
      </c>
      <c r="G326" s="35">
        <v>0.3972222222222222</v>
      </c>
      <c r="H326" s="29" t="s">
        <v>37</v>
      </c>
      <c r="I326" s="37">
        <v>0.27013888888888887</v>
      </c>
      <c r="J326" s="29" t="s">
        <v>37</v>
      </c>
      <c r="K326" s="37">
        <v>0.39027777777777778</v>
      </c>
      <c r="L326" s="28" t="s">
        <v>133</v>
      </c>
      <c r="M326" s="30">
        <v>0.27916666666666667</v>
      </c>
      <c r="N326" s="35">
        <v>0.39027777777777778</v>
      </c>
      <c r="O326" s="28" t="s">
        <v>658</v>
      </c>
      <c r="P326" s="75">
        <v>40.799999999999997</v>
      </c>
      <c r="Q326" s="28" t="s">
        <v>659</v>
      </c>
      <c r="W326" s="29" t="s">
        <v>106</v>
      </c>
      <c r="X326"/>
    </row>
    <row r="327" spans="2:24">
      <c r="B327" s="46" t="s">
        <v>660</v>
      </c>
      <c r="C327" s="46"/>
      <c r="D327" s="35">
        <v>0.47361111111111109</v>
      </c>
      <c r="E327" s="35">
        <v>0.47361111111111109</v>
      </c>
      <c r="F327" s="35">
        <v>0.59652777777777777</v>
      </c>
      <c r="G327" s="35">
        <v>0.59652777777777777</v>
      </c>
      <c r="H327" s="29" t="s">
        <v>37</v>
      </c>
      <c r="I327" s="37">
        <v>0.48055555555555557</v>
      </c>
      <c r="J327" s="29" t="s">
        <v>37</v>
      </c>
      <c r="K327" s="37">
        <v>0.58958333333333335</v>
      </c>
      <c r="L327" s="27" t="s">
        <v>133</v>
      </c>
      <c r="M327" s="30">
        <v>0.48958333333333331</v>
      </c>
      <c r="N327" s="37">
        <v>0.58263888888888893</v>
      </c>
      <c r="O327" s="30">
        <v>0.10277777777777777</v>
      </c>
      <c r="P327" s="38">
        <v>41.8</v>
      </c>
      <c r="Q327" s="35">
        <v>0.10902777777777778</v>
      </c>
      <c r="W327" s="29" t="s">
        <v>106</v>
      </c>
      <c r="X327"/>
    </row>
    <row r="328" spans="2:24">
      <c r="B328" s="46" t="s">
        <v>661</v>
      </c>
      <c r="C328" s="46"/>
      <c r="D328" s="35">
        <v>0.63888888888888884</v>
      </c>
      <c r="E328" s="35">
        <v>0.63888888888888884</v>
      </c>
      <c r="F328" s="35">
        <v>0.73333333333333328</v>
      </c>
      <c r="G328" s="35">
        <v>0.73333333333333328</v>
      </c>
      <c r="H328" s="29" t="s">
        <v>37</v>
      </c>
      <c r="I328" s="37">
        <v>0.64583333333333337</v>
      </c>
      <c r="J328" s="29" t="s">
        <v>37</v>
      </c>
      <c r="K328" s="37">
        <v>0.72638888888888886</v>
      </c>
      <c r="L328" s="27" t="s">
        <v>133</v>
      </c>
      <c r="M328" s="30">
        <v>0.65486111111111112</v>
      </c>
      <c r="N328" s="37">
        <v>0.71944444444444444</v>
      </c>
      <c r="O328" s="30">
        <v>6.3194444444444442E-2</v>
      </c>
      <c r="P328" s="38">
        <v>25</v>
      </c>
      <c r="Q328" s="35">
        <v>6.3194444444444442E-2</v>
      </c>
      <c r="W328" s="29" t="s">
        <v>106</v>
      </c>
      <c r="X328"/>
    </row>
    <row r="329" spans="2:24">
      <c r="B329" s="46" t="s">
        <v>399</v>
      </c>
      <c r="C329" s="46"/>
      <c r="D329" s="35">
        <v>0.75486111111111109</v>
      </c>
      <c r="E329" s="35">
        <v>0.75486111111111109</v>
      </c>
      <c r="F329" s="35">
        <v>0.87916666666666665</v>
      </c>
      <c r="G329" s="35">
        <v>0.87916666666666665</v>
      </c>
      <c r="H329" s="29" t="s">
        <v>37</v>
      </c>
      <c r="I329" s="37">
        <v>0.76180555555555551</v>
      </c>
      <c r="J329" s="29" t="s">
        <v>37</v>
      </c>
      <c r="K329" s="37">
        <v>0.87222222222222223</v>
      </c>
      <c r="L329" s="27" t="s">
        <v>133</v>
      </c>
      <c r="M329" s="30">
        <v>0.77083333333333337</v>
      </c>
      <c r="N329" s="37">
        <v>0.86527777777777781</v>
      </c>
      <c r="O329" s="30">
        <v>0.10138888888888889</v>
      </c>
      <c r="P329" s="38">
        <v>37.1</v>
      </c>
      <c r="Q329" s="35">
        <v>0.11041666666666666</v>
      </c>
      <c r="W329" s="29" t="s">
        <v>106</v>
      </c>
      <c r="X329"/>
    </row>
    <row r="330" spans="2:24">
      <c r="B330" s="46" t="s">
        <v>400</v>
      </c>
      <c r="C330" s="46"/>
      <c r="D330" s="35">
        <v>0.75486111111111109</v>
      </c>
      <c r="E330" s="35">
        <v>0.75486111111111109</v>
      </c>
      <c r="F330" s="35">
        <v>0.81180555555555556</v>
      </c>
      <c r="G330" s="35">
        <v>0.81180555555555556</v>
      </c>
      <c r="H330" s="29" t="s">
        <v>37</v>
      </c>
      <c r="I330" s="37">
        <v>0.76180555555555551</v>
      </c>
      <c r="J330" s="29" t="s">
        <v>37</v>
      </c>
      <c r="K330" s="37">
        <v>0.80486111111111114</v>
      </c>
      <c r="L330" s="27" t="s">
        <v>133</v>
      </c>
      <c r="M330" s="30">
        <v>0.77083333333333337</v>
      </c>
      <c r="N330" s="37">
        <v>0.79791666666666672</v>
      </c>
      <c r="O330" s="30">
        <v>4.3055555555555555E-2</v>
      </c>
      <c r="P330" s="38">
        <v>16.3</v>
      </c>
      <c r="Q330" s="35">
        <v>4.3055555555555555E-2</v>
      </c>
      <c r="W330" s="29" t="s">
        <v>106</v>
      </c>
      <c r="X330"/>
    </row>
    <row r="331" spans="2:24">
      <c r="B331" s="46" t="s">
        <v>401</v>
      </c>
      <c r="C331" s="45"/>
      <c r="D331" s="30">
        <v>0.25972222222222224</v>
      </c>
      <c r="E331" s="30">
        <v>0.25972222222222224</v>
      </c>
      <c r="F331" s="30" t="str">
        <f ca="1">IF($A$4="平日","21:06","19:29")</f>
        <v>19:29</v>
      </c>
      <c r="G331" s="30" t="str">
        <f ca="1">IF($A$4="平日","21:06","19:29")</f>
        <v>19:29</v>
      </c>
      <c r="H331" s="29" t="s">
        <v>37</v>
      </c>
      <c r="I331" s="30">
        <v>0.27013888888888887</v>
      </c>
      <c r="J331" s="29" t="s">
        <v>37</v>
      </c>
      <c r="K331" s="30" t="str">
        <f ca="1">IF($A$4="平日","20:56","19:19")</f>
        <v>19:19</v>
      </c>
      <c r="L331" s="27" t="s">
        <v>133</v>
      </c>
      <c r="M331" s="30">
        <v>0.27916666666666667</v>
      </c>
      <c r="N331" s="30" t="str">
        <f ca="1">IF($A$4="平日","20:46","19:09")</f>
        <v>19:09</v>
      </c>
      <c r="O331" s="30" t="str">
        <f ca="1">IF($A$4="平日","9:10","7:46")</f>
        <v>7:46</v>
      </c>
      <c r="P331" s="38">
        <f ca="1">IF($A$4="平日",144.7,123.9)</f>
        <v>123.9</v>
      </c>
      <c r="Q331" s="30" t="str">
        <f ca="1">IF($A$4="平日","10:05","8:28")</f>
        <v>8:28</v>
      </c>
      <c r="W331" s="29" t="s">
        <v>106</v>
      </c>
      <c r="X331"/>
    </row>
    <row r="332" spans="2:24">
      <c r="B332" s="46" t="s">
        <v>402</v>
      </c>
      <c r="C332" s="45"/>
      <c r="D332" s="35">
        <v>0.27708333333333335</v>
      </c>
      <c r="E332" s="35">
        <v>0.27708333333333335</v>
      </c>
      <c r="F332" s="35">
        <v>0.38124999999999998</v>
      </c>
      <c r="G332" s="35">
        <v>0.38124999999999998</v>
      </c>
      <c r="H332" s="29" t="s">
        <v>37</v>
      </c>
      <c r="I332" s="37">
        <v>0.28749999999999998</v>
      </c>
      <c r="J332" s="29" t="s">
        <v>37</v>
      </c>
      <c r="K332" s="37">
        <v>0.37430555555555556</v>
      </c>
      <c r="L332" s="27" t="s">
        <v>158</v>
      </c>
      <c r="M332" s="30">
        <v>0.29652777777777778</v>
      </c>
      <c r="N332" s="37">
        <v>0.37430555555555556</v>
      </c>
      <c r="O332" s="30">
        <v>8.2638888888888887E-2</v>
      </c>
      <c r="P332" s="74">
        <v>33.4</v>
      </c>
      <c r="Q332" s="35">
        <v>0.10416666666666667</v>
      </c>
      <c r="R332" s="38">
        <f ca="1">IF($A$4="平日",144.7,123.9)</f>
        <v>123.9</v>
      </c>
      <c r="W332" s="29" t="s">
        <v>106</v>
      </c>
      <c r="X332"/>
    </row>
    <row r="333" spans="2:24">
      <c r="K333" s="36"/>
      <c r="R333" s="30"/>
      <c r="S333" s="27"/>
      <c r="T333" s="27"/>
      <c r="W333" s="29"/>
      <c r="X333"/>
    </row>
    <row r="334" spans="2:24">
      <c r="B334" s="46" t="s">
        <v>662</v>
      </c>
      <c r="C334" s="25"/>
      <c r="D334" s="35">
        <v>0.27708333333333335</v>
      </c>
      <c r="E334" s="35">
        <v>0.27708333333333335</v>
      </c>
      <c r="F334" s="35">
        <v>0.42291666666666666</v>
      </c>
      <c r="G334" s="35">
        <v>0.42291666666666666</v>
      </c>
      <c r="H334" s="29" t="s">
        <v>37</v>
      </c>
      <c r="I334" s="37">
        <v>0.28749999999999998</v>
      </c>
      <c r="J334" s="29" t="s">
        <v>37</v>
      </c>
      <c r="K334" s="37">
        <v>0.41597222222222224</v>
      </c>
      <c r="L334" s="27" t="s">
        <v>170</v>
      </c>
      <c r="M334" s="30">
        <v>0.2951388888888889</v>
      </c>
      <c r="N334" s="37">
        <v>0.41041666666666665</v>
      </c>
      <c r="O334" s="30">
        <v>0.12361111111111112</v>
      </c>
      <c r="P334" s="74">
        <v>59.2</v>
      </c>
      <c r="Q334" s="35">
        <v>0.12847222222222221</v>
      </c>
      <c r="W334" s="29" t="s">
        <v>188</v>
      </c>
      <c r="X334"/>
    </row>
    <row r="335" spans="2:24">
      <c r="B335" s="46" t="s">
        <v>464</v>
      </c>
      <c r="C335" s="25"/>
      <c r="D335" s="35">
        <v>0.52361111111111114</v>
      </c>
      <c r="E335" s="35">
        <v>0.52361111111111114</v>
      </c>
      <c r="F335" s="35">
        <v>0.62986111111111109</v>
      </c>
      <c r="G335" s="35">
        <v>0.62986111111111109</v>
      </c>
      <c r="H335" s="29" t="s">
        <v>37</v>
      </c>
      <c r="I335" s="37">
        <v>0.53055555555555556</v>
      </c>
      <c r="J335" s="29" t="s">
        <v>37</v>
      </c>
      <c r="K335" s="37">
        <v>0.62291666666666667</v>
      </c>
      <c r="L335" s="27" t="s">
        <v>170</v>
      </c>
      <c r="M335" s="30">
        <v>0.5395833333333333</v>
      </c>
      <c r="N335" s="37">
        <v>0.61597222222222225</v>
      </c>
      <c r="O335" s="30">
        <v>8.5416666666666669E-2</v>
      </c>
      <c r="P335" s="74">
        <v>37.799999999999997</v>
      </c>
      <c r="Q335" s="35">
        <v>9.2361111111111116E-2</v>
      </c>
      <c r="W335" s="29" t="s">
        <v>188</v>
      </c>
      <c r="X335"/>
    </row>
    <row r="336" spans="2:24">
      <c r="B336" s="46" t="s">
        <v>663</v>
      </c>
      <c r="C336" s="25"/>
      <c r="D336" s="35">
        <v>0.65694444444444444</v>
      </c>
      <c r="E336" s="35">
        <v>0.65694444444444444</v>
      </c>
      <c r="F336" s="35">
        <v>0.78749999999999998</v>
      </c>
      <c r="G336" s="35">
        <v>0.78749999999999998</v>
      </c>
      <c r="H336" s="29" t="s">
        <v>37</v>
      </c>
      <c r="I336" s="37">
        <v>0.66388888888888886</v>
      </c>
      <c r="J336" s="29" t="s">
        <v>52</v>
      </c>
      <c r="K336" s="37">
        <v>0.78055555555555556</v>
      </c>
      <c r="L336" s="27" t="s">
        <v>170</v>
      </c>
      <c r="M336" s="30">
        <v>0.66388888888888886</v>
      </c>
      <c r="N336" s="37">
        <v>0.77361111111111114</v>
      </c>
      <c r="O336" s="30">
        <v>0.10833333333333334</v>
      </c>
      <c r="P336" s="74">
        <v>45.1</v>
      </c>
      <c r="Q336" s="35">
        <v>0.11388888888888889</v>
      </c>
      <c r="W336" s="29" t="s">
        <v>188</v>
      </c>
      <c r="X336"/>
    </row>
    <row r="337" spans="2:24">
      <c r="B337" s="46" t="s">
        <v>461</v>
      </c>
      <c r="C337" s="25"/>
      <c r="D337" s="35">
        <v>0.79652777777777772</v>
      </c>
      <c r="E337" s="35">
        <v>0.79652777777777772</v>
      </c>
      <c r="F337" s="35">
        <v>0.9</v>
      </c>
      <c r="G337" s="35">
        <v>0.9</v>
      </c>
      <c r="H337" s="29" t="s">
        <v>52</v>
      </c>
      <c r="I337" s="37">
        <v>0.80347222222222225</v>
      </c>
      <c r="J337" s="29" t="s">
        <v>37</v>
      </c>
      <c r="K337" s="37">
        <v>0.8930555555555556</v>
      </c>
      <c r="L337" s="27" t="s">
        <v>170</v>
      </c>
      <c r="M337" s="30">
        <v>0.8125</v>
      </c>
      <c r="N337" s="37">
        <v>0.88611111111111107</v>
      </c>
      <c r="O337" s="30">
        <v>8.0555555555555561E-2</v>
      </c>
      <c r="P337" s="74">
        <v>32.200000000000003</v>
      </c>
      <c r="Q337" s="35">
        <v>8.4722222222222227E-2</v>
      </c>
      <c r="W337" s="29" t="s">
        <v>188</v>
      </c>
      <c r="X337"/>
    </row>
    <row r="338" spans="2:24">
      <c r="B338" s="46" t="s">
        <v>403</v>
      </c>
      <c r="C338" s="45"/>
      <c r="D338" s="30">
        <v>0.27708333333333335</v>
      </c>
      <c r="E338" s="30">
        <v>0.27708333333333335</v>
      </c>
      <c r="F338" s="35">
        <v>0.9</v>
      </c>
      <c r="G338" s="35">
        <v>0.9</v>
      </c>
      <c r="H338" s="29" t="s">
        <v>37</v>
      </c>
      <c r="I338" s="30">
        <v>0.28749999999999998</v>
      </c>
      <c r="J338" s="29" t="s">
        <v>37</v>
      </c>
      <c r="K338" s="37">
        <v>0.8930555555555556</v>
      </c>
      <c r="L338" s="27" t="s">
        <v>170</v>
      </c>
      <c r="M338" s="30">
        <v>0.2951388888888889</v>
      </c>
      <c r="N338" s="37">
        <v>0.88611111111111107</v>
      </c>
      <c r="O338" s="30">
        <v>0.39861111111111114</v>
      </c>
      <c r="P338" s="38">
        <v>174.3</v>
      </c>
      <c r="Q338" s="30">
        <v>0.43680555555555556</v>
      </c>
      <c r="W338" s="29" t="s">
        <v>188</v>
      </c>
      <c r="X338"/>
    </row>
    <row r="339" spans="2:24">
      <c r="B339" s="46" t="s">
        <v>404</v>
      </c>
      <c r="C339" s="45"/>
      <c r="D339" s="30">
        <v>0.28125</v>
      </c>
      <c r="E339" s="30">
        <v>0.28125</v>
      </c>
      <c r="F339" s="35">
        <v>0.40069444444444446</v>
      </c>
      <c r="G339" s="35">
        <v>0.40069444444444446</v>
      </c>
      <c r="H339" s="29" t="s">
        <v>37</v>
      </c>
      <c r="I339" s="37">
        <v>0.29166666666666669</v>
      </c>
      <c r="J339" s="29" t="s">
        <v>37</v>
      </c>
      <c r="K339" s="37">
        <v>0.39374999999999999</v>
      </c>
      <c r="L339" s="27" t="s">
        <v>165</v>
      </c>
      <c r="M339" s="30">
        <v>0.30069444444444443</v>
      </c>
      <c r="N339" s="37">
        <v>0.38680555555555557</v>
      </c>
      <c r="O339" s="30">
        <v>9.6527777777777782E-2</v>
      </c>
      <c r="P339" s="38">
        <v>37.799999999999997</v>
      </c>
      <c r="Q339" s="30">
        <v>0.11944444444444445</v>
      </c>
      <c r="W339" s="29" t="s">
        <v>188</v>
      </c>
      <c r="X339"/>
    </row>
    <row r="340" spans="2:24">
      <c r="B340" s="46" t="s">
        <v>664</v>
      </c>
      <c r="C340" s="25"/>
      <c r="D340" s="35">
        <v>0.28194444444444444</v>
      </c>
      <c r="E340" s="35">
        <v>0.28194444444444444</v>
      </c>
      <c r="F340" s="35">
        <v>0.41388888888888886</v>
      </c>
      <c r="G340" s="35">
        <v>0.41180555555555554</v>
      </c>
      <c r="H340" s="29" t="s">
        <v>37</v>
      </c>
      <c r="I340" s="37">
        <v>0.29236111111111113</v>
      </c>
      <c r="J340" s="29" t="s">
        <v>37</v>
      </c>
      <c r="K340" s="37">
        <v>0.40486111111111112</v>
      </c>
      <c r="L340" s="27" t="s">
        <v>529</v>
      </c>
      <c r="M340" s="30">
        <v>0.30138888888888887</v>
      </c>
      <c r="N340" s="37">
        <v>0.40277777777777779</v>
      </c>
      <c r="O340" s="30">
        <v>0.1125</v>
      </c>
      <c r="P340" s="74">
        <v>34.6</v>
      </c>
      <c r="Q340" s="35">
        <v>0.1125</v>
      </c>
      <c r="W340" s="29" t="s">
        <v>188</v>
      </c>
      <c r="X340"/>
    </row>
    <row r="341" spans="2:24">
      <c r="B341" s="46" t="s">
        <v>665</v>
      </c>
      <c r="C341" s="25"/>
      <c r="D341" s="35">
        <v>0.56597222222222221</v>
      </c>
      <c r="E341" s="35">
        <v>0.56597222222222221</v>
      </c>
      <c r="F341" s="35">
        <v>0.69513888888888886</v>
      </c>
      <c r="G341" s="35">
        <v>0.69513888888888886</v>
      </c>
      <c r="H341" s="29" t="s">
        <v>37</v>
      </c>
      <c r="I341" s="37">
        <v>0.57291666666666663</v>
      </c>
      <c r="J341" s="29" t="s">
        <v>37</v>
      </c>
      <c r="K341" s="37">
        <v>0.68819444444444444</v>
      </c>
      <c r="L341" s="27" t="s">
        <v>538</v>
      </c>
      <c r="M341" s="30">
        <v>0.57708333333333328</v>
      </c>
      <c r="N341" s="37">
        <v>0.68611111111111112</v>
      </c>
      <c r="O341" s="30">
        <v>0.11527777777777778</v>
      </c>
      <c r="P341" s="74">
        <v>35</v>
      </c>
      <c r="Q341" s="35">
        <v>0.11527777777777778</v>
      </c>
      <c r="W341" s="29" t="s">
        <v>188</v>
      </c>
      <c r="X341"/>
    </row>
    <row r="342" spans="2:24">
      <c r="B342" s="46" t="s">
        <v>666</v>
      </c>
      <c r="C342" s="25"/>
      <c r="D342" s="35">
        <v>0.72013888888888888</v>
      </c>
      <c r="E342" s="35">
        <v>0.72013888888888888</v>
      </c>
      <c r="F342" s="35">
        <v>0.84513888888888888</v>
      </c>
      <c r="G342" s="35">
        <v>0.84513888888888888</v>
      </c>
      <c r="H342" s="29" t="s">
        <v>37</v>
      </c>
      <c r="I342" s="37">
        <v>0.7270833333333333</v>
      </c>
      <c r="J342" s="29" t="s">
        <v>37</v>
      </c>
      <c r="K342" s="37">
        <v>0.83819444444444446</v>
      </c>
      <c r="L342" s="27" t="s">
        <v>161</v>
      </c>
      <c r="M342" s="30">
        <v>0.7270833333333333</v>
      </c>
      <c r="N342" s="37">
        <v>0.83125000000000004</v>
      </c>
      <c r="O342" s="30">
        <v>0.10555555555555556</v>
      </c>
      <c r="P342" s="74">
        <v>40.4</v>
      </c>
      <c r="Q342" s="35">
        <v>0.11319444444444444</v>
      </c>
      <c r="W342" s="29" t="s">
        <v>188</v>
      </c>
      <c r="X342"/>
    </row>
    <row r="343" spans="2:24">
      <c r="B343" s="46" t="s">
        <v>667</v>
      </c>
      <c r="C343" s="25"/>
      <c r="D343" s="35">
        <v>0.34166666666666667</v>
      </c>
      <c r="E343" s="35">
        <v>0.34166666666666667</v>
      </c>
      <c r="F343" s="35">
        <v>0.41388888888888886</v>
      </c>
      <c r="G343" s="35">
        <v>0.41180555555555554</v>
      </c>
      <c r="H343" s="29" t="s">
        <v>37</v>
      </c>
      <c r="I343" s="37">
        <v>0.35208333333333336</v>
      </c>
      <c r="J343" s="29" t="s">
        <v>37</v>
      </c>
      <c r="K343" s="37">
        <v>0.40486111111111112</v>
      </c>
      <c r="L343" s="27" t="s">
        <v>529</v>
      </c>
      <c r="M343" s="30">
        <v>0.3611111111111111</v>
      </c>
      <c r="N343" s="37">
        <v>0.40277777777777779</v>
      </c>
      <c r="O343" s="30">
        <v>5.2777777777777778E-2</v>
      </c>
      <c r="P343" s="74">
        <v>18.2</v>
      </c>
      <c r="Q343" s="35">
        <v>5.2777777777777778E-2</v>
      </c>
      <c r="W343" s="29" t="s">
        <v>188</v>
      </c>
      <c r="X343"/>
    </row>
    <row r="344" spans="2:24">
      <c r="B344" s="46" t="s">
        <v>668</v>
      </c>
      <c r="C344" s="25"/>
      <c r="D344" s="35">
        <v>0.56041666666666667</v>
      </c>
      <c r="E344" s="35">
        <v>0.56041666666666667</v>
      </c>
      <c r="F344" s="35">
        <v>0.68958333333333333</v>
      </c>
      <c r="G344" s="35">
        <v>0.68958333333333333</v>
      </c>
      <c r="H344" s="29" t="s">
        <v>37</v>
      </c>
      <c r="I344" s="37">
        <v>0.56736111111111109</v>
      </c>
      <c r="J344" s="29" t="s">
        <v>37</v>
      </c>
      <c r="K344" s="37">
        <v>0.68263888888888891</v>
      </c>
      <c r="L344" s="27" t="s">
        <v>529</v>
      </c>
      <c r="M344" s="30">
        <v>0.57152777777777775</v>
      </c>
      <c r="N344" s="37">
        <v>0.68055555555555558</v>
      </c>
      <c r="O344" s="30">
        <v>0.11527777777777778</v>
      </c>
      <c r="P344" s="74">
        <v>35</v>
      </c>
      <c r="Q344" s="35">
        <v>0.11527777777777778</v>
      </c>
      <c r="W344" s="29" t="s">
        <v>188</v>
      </c>
      <c r="X344"/>
    </row>
    <row r="345" spans="2:24">
      <c r="B345" s="46" t="s">
        <v>669</v>
      </c>
      <c r="C345" s="25"/>
      <c r="D345" s="35">
        <v>0.69930555555555551</v>
      </c>
      <c r="E345" s="35">
        <v>0.69930555555555551</v>
      </c>
      <c r="F345" s="35">
        <v>0.78888888888888886</v>
      </c>
      <c r="G345" s="35">
        <v>0.78888888888888886</v>
      </c>
      <c r="H345" s="29" t="s">
        <v>37</v>
      </c>
      <c r="I345" s="37">
        <v>0.70625000000000004</v>
      </c>
      <c r="J345" s="29" t="s">
        <v>37</v>
      </c>
      <c r="K345" s="37">
        <v>0.78194444444444444</v>
      </c>
      <c r="L345" s="27" t="s">
        <v>161</v>
      </c>
      <c r="M345" s="30">
        <v>0.7104166666666667</v>
      </c>
      <c r="N345" s="37">
        <v>0.77500000000000002</v>
      </c>
      <c r="O345" s="30">
        <v>7.5694444444444439E-2</v>
      </c>
      <c r="P345" s="74">
        <v>23.4</v>
      </c>
      <c r="Q345" s="35">
        <v>7.5694444444444439E-2</v>
      </c>
      <c r="W345" s="29" t="s">
        <v>188</v>
      </c>
      <c r="X345"/>
    </row>
    <row r="346" spans="2:24">
      <c r="B346" s="46" t="s">
        <v>405</v>
      </c>
      <c r="C346" s="45"/>
      <c r="D346" s="30" t="str">
        <f ca="1">IF($A$4="平日","6:46","8:12")</f>
        <v>8:12</v>
      </c>
      <c r="E346" s="30" t="str">
        <f ca="1">IF($A$4="平日","6:46","8:12")</f>
        <v>8:12</v>
      </c>
      <c r="F346" s="30" t="str">
        <f ca="1">IF($A$4="平日","20:17","18:56")</f>
        <v>18:56</v>
      </c>
      <c r="G346" s="30" t="str">
        <f ca="1">IF($A$4="平日","20:17","18:56")</f>
        <v>18:56</v>
      </c>
      <c r="H346" s="29" t="s">
        <v>37</v>
      </c>
      <c r="I346" s="30" t="str">
        <f ca="1">IF($A$4="平日","7:01","8:27")</f>
        <v>8:27</v>
      </c>
      <c r="J346" s="29" t="s">
        <v>37</v>
      </c>
      <c r="K346" s="30" t="str">
        <f ca="1">IF($A$4="平日","20:07","18:46")</f>
        <v>18:46</v>
      </c>
      <c r="L346" s="30" t="str">
        <f ca="1">IF($A$4="平日","1050    1060    1032","1050    1588")</f>
        <v>1050    1588</v>
      </c>
      <c r="M346" s="30" t="str">
        <f ca="1">IF($A$4="平日","7:14","8:40")</f>
        <v>8:40</v>
      </c>
      <c r="N346" s="30" t="str">
        <f ca="1">IF($A$4="平日","19:57","18:36")</f>
        <v>18:36</v>
      </c>
      <c r="O346" s="30" t="str">
        <f ca="1">IF($A$4="平日","8:00","5:51")</f>
        <v>5:51</v>
      </c>
      <c r="P346" s="38">
        <f ca="1">IF($A$4="平日",110,76.6)</f>
        <v>76.599999999999994</v>
      </c>
      <c r="Q346" s="30" t="str">
        <f ca="1">IF($A$4="平日","8:56","6:36")</f>
        <v>6:36</v>
      </c>
      <c r="S346" s="30">
        <v>0.41180555555555554</v>
      </c>
      <c r="T346" s="30" t="str">
        <f ca="1">IF($A$4="平日","13:35","13:27")</f>
        <v>13:27</v>
      </c>
      <c r="W346" s="29" t="s">
        <v>188</v>
      </c>
      <c r="X346"/>
    </row>
    <row r="347" spans="2:24">
      <c r="B347" s="46" t="s">
        <v>670</v>
      </c>
      <c r="C347" s="25"/>
      <c r="D347" s="35">
        <v>0.29791666666666666</v>
      </c>
      <c r="E347" s="35">
        <v>0.29791666666666666</v>
      </c>
      <c r="F347" s="35">
        <v>0.39791666666666664</v>
      </c>
      <c r="G347" s="35">
        <v>0.39791666666666664</v>
      </c>
      <c r="H347" s="29" t="s">
        <v>37</v>
      </c>
      <c r="I347" s="37">
        <v>0.30833333333333335</v>
      </c>
      <c r="J347" s="29" t="s">
        <v>37</v>
      </c>
      <c r="K347" s="37">
        <v>0.39097222222222222</v>
      </c>
      <c r="L347" s="27">
        <v>1023</v>
      </c>
      <c r="M347" s="30">
        <v>0.31736111111111109</v>
      </c>
      <c r="N347" s="37">
        <v>0.3840277777777778</v>
      </c>
      <c r="O347" s="30">
        <v>7.8472222222222221E-2</v>
      </c>
      <c r="P347" s="74">
        <v>33</v>
      </c>
      <c r="Q347" s="35">
        <v>8.2638888888888887E-2</v>
      </c>
      <c r="W347" s="29" t="s">
        <v>188</v>
      </c>
      <c r="X347"/>
    </row>
    <row r="348" spans="2:24">
      <c r="B348" s="46" t="s">
        <v>406</v>
      </c>
      <c r="C348" s="25"/>
      <c r="D348" s="35">
        <v>0.44722222222222224</v>
      </c>
      <c r="E348" s="35">
        <v>0.44722222222222224</v>
      </c>
      <c r="F348" s="35">
        <v>0.54305555555555551</v>
      </c>
      <c r="G348" s="35">
        <v>0.54305555555555551</v>
      </c>
      <c r="H348" s="29" t="s">
        <v>37</v>
      </c>
      <c r="I348" s="37">
        <v>0.45416666666666666</v>
      </c>
      <c r="J348" s="29" t="s">
        <v>37</v>
      </c>
      <c r="K348" s="37">
        <v>0.53611111111111109</v>
      </c>
      <c r="L348" s="27" t="s">
        <v>671</v>
      </c>
      <c r="M348" s="30">
        <v>0.46319444444444446</v>
      </c>
      <c r="N348" s="37">
        <v>0.52916666666666667</v>
      </c>
      <c r="O348" s="30">
        <v>7.6388888888888895E-2</v>
      </c>
      <c r="P348" s="74">
        <v>30.6</v>
      </c>
      <c r="Q348" s="35">
        <v>8.1944444444444445E-2</v>
      </c>
      <c r="W348" s="29" t="s">
        <v>188</v>
      </c>
      <c r="X348"/>
    </row>
    <row r="349" spans="2:24">
      <c r="B349" s="46" t="s">
        <v>407</v>
      </c>
      <c r="C349" s="25"/>
      <c r="D349" s="35">
        <v>0.56597222222222221</v>
      </c>
      <c r="E349" s="35">
        <v>0.56597222222222221</v>
      </c>
      <c r="F349" s="35">
        <v>0.7</v>
      </c>
      <c r="G349" s="35">
        <v>0.7</v>
      </c>
      <c r="H349" s="29" t="s">
        <v>37</v>
      </c>
      <c r="I349" s="37">
        <v>0.57291666666666663</v>
      </c>
      <c r="J349" s="29" t="s">
        <v>37</v>
      </c>
      <c r="K349" s="37">
        <v>0.69305555555555554</v>
      </c>
      <c r="L349" s="27" t="s">
        <v>60</v>
      </c>
      <c r="M349" s="30">
        <v>0.58194444444444449</v>
      </c>
      <c r="N349" s="37">
        <v>0.68611111111111112</v>
      </c>
      <c r="O349" s="30">
        <v>0.10277777777777777</v>
      </c>
      <c r="P349" s="74">
        <v>45.9</v>
      </c>
      <c r="Q349" s="35">
        <v>0.10277777777777777</v>
      </c>
      <c r="W349" s="29" t="s">
        <v>188</v>
      </c>
      <c r="X349"/>
    </row>
    <row r="350" spans="2:24">
      <c r="B350" s="46" t="s">
        <v>408</v>
      </c>
      <c r="C350" s="25"/>
      <c r="D350" s="35">
        <v>0.72222222222222221</v>
      </c>
      <c r="E350" s="35">
        <v>0.72222222222222221</v>
      </c>
      <c r="F350" s="35">
        <v>0.83333333333333337</v>
      </c>
      <c r="G350" s="35">
        <v>0.83333333333333337</v>
      </c>
      <c r="H350" s="29" t="s">
        <v>37</v>
      </c>
      <c r="I350" s="37">
        <v>0.72916666666666663</v>
      </c>
      <c r="J350" s="29" t="s">
        <v>52</v>
      </c>
      <c r="K350" s="37">
        <v>0.82638888888888884</v>
      </c>
      <c r="L350" s="27" t="s">
        <v>60</v>
      </c>
      <c r="M350" s="30">
        <v>0.73819444444444449</v>
      </c>
      <c r="N350" s="37">
        <v>0.81944444444444442</v>
      </c>
      <c r="O350" s="30">
        <v>6.9444444444444448E-2</v>
      </c>
      <c r="P350" s="74">
        <v>29.3</v>
      </c>
      <c r="Q350" s="35">
        <v>7.8472222222222221E-2</v>
      </c>
      <c r="W350" s="29" t="s">
        <v>188</v>
      </c>
      <c r="X350"/>
    </row>
    <row r="351" spans="2:24">
      <c r="B351" s="46" t="s">
        <v>672</v>
      </c>
      <c r="C351" s="25"/>
      <c r="D351" s="35">
        <v>0.82986111111111116</v>
      </c>
      <c r="E351" s="35">
        <v>0.82986111111111116</v>
      </c>
      <c r="F351" s="35">
        <v>0.88749999999999996</v>
      </c>
      <c r="G351" s="35">
        <v>0.88749999999999996</v>
      </c>
      <c r="H351" s="29" t="s">
        <v>52</v>
      </c>
      <c r="I351" s="37">
        <v>0.83680555555555558</v>
      </c>
      <c r="J351" s="29" t="s">
        <v>436</v>
      </c>
      <c r="K351" s="37">
        <v>0.88055555555555554</v>
      </c>
      <c r="L351" s="27" t="s">
        <v>60</v>
      </c>
      <c r="M351" s="30">
        <v>0.88055555555555554</v>
      </c>
      <c r="N351" s="37">
        <v>0.88055555555555554</v>
      </c>
      <c r="O351" s="30">
        <v>3.888888888888889E-2</v>
      </c>
      <c r="P351" s="74">
        <v>16.399999999999999</v>
      </c>
      <c r="Q351" s="35">
        <v>3.888888888888889E-2</v>
      </c>
      <c r="W351" s="29" t="s">
        <v>188</v>
      </c>
      <c r="X351"/>
    </row>
    <row r="352" spans="2:24">
      <c r="B352" s="46" t="s">
        <v>673</v>
      </c>
      <c r="C352" s="25"/>
      <c r="D352" s="35">
        <v>0.82986111111111116</v>
      </c>
      <c r="E352" s="35">
        <v>0.82986111111111116</v>
      </c>
      <c r="F352" s="35">
        <v>0.91180555555555554</v>
      </c>
      <c r="G352" s="35">
        <v>0.91180555555555554</v>
      </c>
      <c r="H352" s="29" t="s">
        <v>52</v>
      </c>
      <c r="I352" s="37">
        <v>0.83680555555555558</v>
      </c>
      <c r="J352" s="29" t="s">
        <v>37</v>
      </c>
      <c r="K352" s="37">
        <v>0.90486111111111112</v>
      </c>
      <c r="L352" s="27" t="s">
        <v>60</v>
      </c>
      <c r="M352" s="30">
        <v>0.84583333333333333</v>
      </c>
      <c r="N352" s="37">
        <v>0.90486111111111112</v>
      </c>
      <c r="O352" s="30">
        <v>6.3194444444444442E-2</v>
      </c>
      <c r="P352" s="74">
        <v>28.4</v>
      </c>
      <c r="Q352" s="35">
        <v>6.3194444444444442E-2</v>
      </c>
      <c r="W352" s="29" t="s">
        <v>188</v>
      </c>
      <c r="X352"/>
    </row>
    <row r="353" spans="2:24">
      <c r="B353" s="46" t="s">
        <v>409</v>
      </c>
      <c r="C353" s="85"/>
      <c r="D353" s="30">
        <v>0.31874999999999998</v>
      </c>
      <c r="E353" s="30">
        <v>0.31874999999999998</v>
      </c>
      <c r="F353" s="30">
        <v>0.91180555555555554</v>
      </c>
      <c r="G353" s="30">
        <v>0.91180555555555554</v>
      </c>
      <c r="H353" s="29" t="s">
        <v>37</v>
      </c>
      <c r="I353" s="30">
        <v>0.29375000000000001</v>
      </c>
      <c r="J353" s="29" t="s">
        <v>37</v>
      </c>
      <c r="K353" s="37">
        <v>0.90486111111111112</v>
      </c>
      <c r="L353" s="29" t="s">
        <v>488</v>
      </c>
      <c r="M353" s="30">
        <v>0.30277777777777776</v>
      </c>
      <c r="N353" s="30">
        <v>0.90486111111111112</v>
      </c>
      <c r="O353" s="30">
        <v>0.39027777777777778</v>
      </c>
      <c r="P353" s="39">
        <v>167.2</v>
      </c>
      <c r="Q353" s="30">
        <v>0.42638888888888887</v>
      </c>
      <c r="W353" s="29" t="s">
        <v>188</v>
      </c>
      <c r="X353"/>
    </row>
    <row r="354" spans="2:24">
      <c r="B354" s="46" t="s">
        <v>410</v>
      </c>
      <c r="C354" s="45"/>
      <c r="D354" s="30">
        <v>0.29791666666666666</v>
      </c>
      <c r="E354" s="30">
        <v>0.29791666666666666</v>
      </c>
      <c r="F354" s="30">
        <v>0.88749999999999996</v>
      </c>
      <c r="G354" s="30">
        <v>0.88749999999999996</v>
      </c>
      <c r="H354" s="29" t="s">
        <v>37</v>
      </c>
      <c r="I354" s="30">
        <v>0.30833333333333335</v>
      </c>
      <c r="J354" s="29" t="s">
        <v>436</v>
      </c>
      <c r="K354" s="37">
        <v>0.88055555555555554</v>
      </c>
      <c r="L354" s="29" t="s">
        <v>488</v>
      </c>
      <c r="M354" s="30">
        <v>0.31736111111111109</v>
      </c>
      <c r="N354" s="30">
        <v>0.88055555555555554</v>
      </c>
      <c r="O354" s="30">
        <v>0.3659722222222222</v>
      </c>
      <c r="P354" s="39">
        <v>155.19999999999999</v>
      </c>
      <c r="Q354" s="30">
        <v>0.40208333333333335</v>
      </c>
      <c r="W354" s="29" t="s">
        <v>188</v>
      </c>
      <c r="X354"/>
    </row>
    <row r="355" spans="2:24">
      <c r="B355" s="46" t="s">
        <v>411</v>
      </c>
      <c r="C355" s="46"/>
      <c r="D355" s="35">
        <v>0.27569444444444446</v>
      </c>
      <c r="E355" s="35">
        <v>0.27569444444444446</v>
      </c>
      <c r="F355" s="35">
        <v>0.34444444444444444</v>
      </c>
      <c r="G355" s="35">
        <v>0.34444444444444444</v>
      </c>
      <c r="H355" s="29" t="s">
        <v>436</v>
      </c>
      <c r="I355" s="37">
        <v>0.28611111111111109</v>
      </c>
      <c r="J355" s="29" t="s">
        <v>37</v>
      </c>
      <c r="K355" s="37">
        <v>0.33750000000000002</v>
      </c>
      <c r="L355" s="27" t="s">
        <v>60</v>
      </c>
      <c r="M355" s="30">
        <v>0.28611111111111109</v>
      </c>
      <c r="N355" s="37">
        <v>0.33055555555555555</v>
      </c>
      <c r="O355" s="30">
        <v>5.1388888888888887E-2</v>
      </c>
      <c r="P355" s="38">
        <v>18.899999999999999</v>
      </c>
      <c r="Q355" s="35">
        <v>5.1388888888888887E-2</v>
      </c>
      <c r="W355" s="29" t="s">
        <v>188</v>
      </c>
      <c r="X355"/>
    </row>
    <row r="356" spans="2:24">
      <c r="B356" s="46" t="s">
        <v>412</v>
      </c>
      <c r="C356" s="46"/>
      <c r="D356" s="35">
        <v>0.24930555555555556</v>
      </c>
      <c r="E356" s="35">
        <v>0.24930555555555556</v>
      </c>
      <c r="F356" s="35">
        <v>0.34444444444444444</v>
      </c>
      <c r="G356" s="35">
        <v>0.34444444444444444</v>
      </c>
      <c r="H356" s="29" t="s">
        <v>37</v>
      </c>
      <c r="I356" s="37">
        <v>0.25972222222222224</v>
      </c>
      <c r="J356" s="29" t="s">
        <v>37</v>
      </c>
      <c r="K356" s="37">
        <v>0.33750000000000002</v>
      </c>
      <c r="L356" s="27" t="s">
        <v>60</v>
      </c>
      <c r="M356" s="30">
        <v>0.25972222222222224</v>
      </c>
      <c r="N356" s="37">
        <v>0.33055555555555555</v>
      </c>
      <c r="O356" s="30">
        <v>7.7777777777777779E-2</v>
      </c>
      <c r="P356" s="38">
        <v>30.9</v>
      </c>
      <c r="Q356" s="35">
        <v>7.7777777777777779E-2</v>
      </c>
      <c r="W356" s="29" t="s">
        <v>188</v>
      </c>
      <c r="X356"/>
    </row>
    <row r="357" spans="2:24">
      <c r="B357" s="46" t="s">
        <v>674</v>
      </c>
      <c r="D357" s="35">
        <v>0.36736111111111114</v>
      </c>
      <c r="E357" s="35">
        <v>0.36736111111111114</v>
      </c>
      <c r="F357" s="35">
        <v>0.45208333333333334</v>
      </c>
      <c r="G357" s="35">
        <v>0.45208333333333334</v>
      </c>
      <c r="H357" s="29" t="s">
        <v>37</v>
      </c>
      <c r="I357" s="36">
        <v>0.37430555555555556</v>
      </c>
      <c r="J357" s="29" t="s">
        <v>37</v>
      </c>
      <c r="K357" s="37">
        <v>0.44513888888888886</v>
      </c>
      <c r="L357" s="27" t="s">
        <v>60</v>
      </c>
      <c r="M357" s="35">
        <v>0.38333333333333336</v>
      </c>
      <c r="N357" s="36">
        <v>0.43819444444444444</v>
      </c>
      <c r="O357" s="36">
        <v>6.3888888888888884E-2</v>
      </c>
      <c r="P357" s="38">
        <v>25</v>
      </c>
      <c r="Q357" s="35">
        <v>7.0833333333333331E-2</v>
      </c>
      <c r="W357" s="29" t="s">
        <v>188</v>
      </c>
      <c r="X357"/>
    </row>
    <row r="358" spans="2:24">
      <c r="B358" s="46" t="s">
        <v>413</v>
      </c>
      <c r="C358" s="85"/>
      <c r="D358" s="35">
        <v>0.24930555555555556</v>
      </c>
      <c r="E358" s="35">
        <v>0.24930555555555556</v>
      </c>
      <c r="F358" s="35">
        <v>0.45208333333333334</v>
      </c>
      <c r="G358" s="35">
        <v>0.45208333333333334</v>
      </c>
      <c r="H358" s="29" t="s">
        <v>37</v>
      </c>
      <c r="I358" s="37">
        <v>0.25972222222222224</v>
      </c>
      <c r="J358" s="29" t="s">
        <v>37</v>
      </c>
      <c r="K358" s="37">
        <v>0.44513888888888886</v>
      </c>
      <c r="L358" s="27" t="s">
        <v>60</v>
      </c>
      <c r="M358" s="30">
        <v>0.25972222222222224</v>
      </c>
      <c r="N358" s="35">
        <v>0.43819444444444444</v>
      </c>
      <c r="O358" s="30">
        <v>0.14166666666666666</v>
      </c>
      <c r="P358" s="38">
        <v>55.9</v>
      </c>
      <c r="Q358" s="30">
        <v>0.16597222222222222</v>
      </c>
      <c r="W358" s="29" t="s">
        <v>188</v>
      </c>
      <c r="X358"/>
    </row>
    <row r="359" spans="2:24">
      <c r="B359" s="46" t="s">
        <v>414</v>
      </c>
      <c r="C359" s="45"/>
      <c r="D359" s="35">
        <v>0.27569444444444446</v>
      </c>
      <c r="E359" s="35">
        <v>0.27569444444444446</v>
      </c>
      <c r="F359" s="35">
        <v>0.45208333333333334</v>
      </c>
      <c r="G359" s="35">
        <v>0.45208333333333334</v>
      </c>
      <c r="H359" s="29" t="s">
        <v>436</v>
      </c>
      <c r="I359" s="37">
        <v>0.28611111111111109</v>
      </c>
      <c r="J359" s="29" t="s">
        <v>37</v>
      </c>
      <c r="K359" s="37">
        <v>0.44513888888888886</v>
      </c>
      <c r="L359" s="27" t="s">
        <v>60</v>
      </c>
      <c r="M359" s="30">
        <v>0.28611111111111109</v>
      </c>
      <c r="N359" s="35">
        <v>0.43819444444444444</v>
      </c>
      <c r="O359" s="30">
        <v>0.11527777777777778</v>
      </c>
      <c r="P359" s="38">
        <v>43.9</v>
      </c>
      <c r="Q359" s="30">
        <v>0.13958333333333334</v>
      </c>
      <c r="R359" s="74">
        <v>155.19999999999999</v>
      </c>
      <c r="W359" s="29" t="s">
        <v>188</v>
      </c>
      <c r="X359"/>
    </row>
    <row r="360" spans="2:24">
      <c r="B360" s="46"/>
      <c r="C360" s="25"/>
      <c r="H360" s="29"/>
      <c r="I360" s="37"/>
      <c r="J360" s="29"/>
      <c r="K360" s="37"/>
      <c r="L360" s="27"/>
      <c r="M360" s="30"/>
      <c r="N360" s="37"/>
      <c r="O360" s="30"/>
      <c r="P360" s="74"/>
      <c r="Q360" s="35"/>
      <c r="W360" s="29"/>
      <c r="X360"/>
    </row>
    <row r="361" spans="2:24">
      <c r="B361" s="43" t="s">
        <v>483</v>
      </c>
      <c r="C361" s="45"/>
      <c r="D361" s="35">
        <v>0.37013888888888891</v>
      </c>
      <c r="E361" s="35">
        <v>0.37013888888888891</v>
      </c>
      <c r="F361" s="35">
        <v>0.73541666666666672</v>
      </c>
      <c r="G361" s="35">
        <v>0.73541666666666672</v>
      </c>
      <c r="H361" s="29" t="s">
        <v>37</v>
      </c>
      <c r="I361" s="37">
        <v>0.38055555555555554</v>
      </c>
      <c r="J361" s="29" t="s">
        <v>37</v>
      </c>
      <c r="K361" s="30">
        <v>0.72847222222222219</v>
      </c>
      <c r="L361" s="27" t="s">
        <v>169</v>
      </c>
      <c r="M361" s="30">
        <v>0.39513888888888887</v>
      </c>
      <c r="N361" s="37">
        <v>0.71597222222222223</v>
      </c>
      <c r="O361" s="30">
        <v>0.19583333333333333</v>
      </c>
      <c r="P361" s="38">
        <v>68.8</v>
      </c>
      <c r="Q361" s="35">
        <v>0.21319444444444444</v>
      </c>
      <c r="W361" s="29" t="s">
        <v>188</v>
      </c>
      <c r="X361"/>
    </row>
    <row r="362" spans="2:24">
      <c r="B362" s="43" t="s">
        <v>543</v>
      </c>
      <c r="C362" s="25"/>
      <c r="D362" s="35">
        <v>0.27916666666666667</v>
      </c>
      <c r="E362" s="35">
        <v>0.27916666666666667</v>
      </c>
      <c r="F362" s="35">
        <v>0.38958333333333334</v>
      </c>
      <c r="G362" s="35">
        <v>0.38958333333333334</v>
      </c>
      <c r="H362" s="29" t="s">
        <v>37</v>
      </c>
      <c r="I362" s="37">
        <v>0.28958333333333336</v>
      </c>
      <c r="J362" s="29" t="s">
        <v>37</v>
      </c>
      <c r="K362" s="30">
        <v>0.38263888888888886</v>
      </c>
      <c r="L362" s="27" t="s">
        <v>166</v>
      </c>
      <c r="M362" s="30">
        <v>0.30416666666666664</v>
      </c>
      <c r="N362" s="37">
        <v>0.38055555555555554</v>
      </c>
      <c r="O362" s="30">
        <v>9.3055555555555558E-2</v>
      </c>
      <c r="P362" s="38">
        <v>30</v>
      </c>
      <c r="Q362" s="35">
        <v>9.3055555555555558E-2</v>
      </c>
      <c r="W362" s="29" t="s">
        <v>188</v>
      </c>
      <c r="X362"/>
    </row>
    <row r="363" spans="2:24">
      <c r="B363" s="43" t="s">
        <v>544</v>
      </c>
      <c r="C363" s="25"/>
      <c r="D363" s="35">
        <v>0.39930555555555558</v>
      </c>
      <c r="E363" s="35">
        <v>0.39930555555555558</v>
      </c>
      <c r="F363" s="35">
        <v>0.47291666666666665</v>
      </c>
      <c r="G363" s="35">
        <v>0.47291666666666665</v>
      </c>
      <c r="H363" s="29" t="s">
        <v>37</v>
      </c>
      <c r="I363" s="37">
        <v>0.40625</v>
      </c>
      <c r="J363" s="29" t="s">
        <v>37</v>
      </c>
      <c r="K363" s="30">
        <v>0.46597222222222223</v>
      </c>
      <c r="L363" s="27" t="s">
        <v>538</v>
      </c>
      <c r="M363" s="30">
        <v>0.41041666666666665</v>
      </c>
      <c r="N363" s="37">
        <v>0.46388888888888891</v>
      </c>
      <c r="O363" s="30">
        <v>5.9722222222222225E-2</v>
      </c>
      <c r="P363" s="38">
        <v>18.600000000000001</v>
      </c>
      <c r="Q363" s="35">
        <v>5.9722222222222225E-2</v>
      </c>
      <c r="W363" s="29" t="s">
        <v>188</v>
      </c>
      <c r="X363"/>
    </row>
    <row r="364" spans="2:24">
      <c r="B364" s="43" t="s">
        <v>545</v>
      </c>
      <c r="C364" s="25"/>
      <c r="D364" s="35">
        <v>0.53819444444444442</v>
      </c>
      <c r="E364" s="35">
        <v>0.53819444444444442</v>
      </c>
      <c r="F364" s="35">
        <v>0.6118055555555556</v>
      </c>
      <c r="G364" s="35">
        <v>0.6118055555555556</v>
      </c>
      <c r="H364" s="29" t="s">
        <v>37</v>
      </c>
      <c r="I364" s="37">
        <v>0.54513888888888884</v>
      </c>
      <c r="J364" s="29" t="s">
        <v>37</v>
      </c>
      <c r="K364" s="30">
        <v>0.60486111111111107</v>
      </c>
      <c r="L364" s="27" t="s">
        <v>166</v>
      </c>
      <c r="M364" s="30">
        <v>0.5493055555555556</v>
      </c>
      <c r="N364" s="37">
        <v>0.60277777777777775</v>
      </c>
      <c r="O364" s="30">
        <v>5.9722222222222225E-2</v>
      </c>
      <c r="P364" s="38">
        <v>18.600000000000001</v>
      </c>
      <c r="Q364" s="35">
        <v>5.9722222222222225E-2</v>
      </c>
      <c r="W364" s="29" t="s">
        <v>188</v>
      </c>
      <c r="X364"/>
    </row>
    <row r="365" spans="2:24">
      <c r="B365" s="43" t="s">
        <v>548</v>
      </c>
      <c r="C365" s="25"/>
      <c r="D365" s="35">
        <v>0.67152777777777772</v>
      </c>
      <c r="E365" s="35">
        <v>0.67152777777777772</v>
      </c>
      <c r="F365" s="35">
        <v>0.81597222222222221</v>
      </c>
      <c r="G365" s="35">
        <v>0.81597222222222221</v>
      </c>
      <c r="H365" s="29" t="s">
        <v>37</v>
      </c>
      <c r="I365" s="37">
        <v>0.67847222222222225</v>
      </c>
      <c r="J365" s="29" t="s">
        <v>37</v>
      </c>
      <c r="K365" s="30">
        <v>0.80902777777777779</v>
      </c>
      <c r="L365" s="27" t="s">
        <v>529</v>
      </c>
      <c r="M365" s="30">
        <v>0.68263888888888891</v>
      </c>
      <c r="N365" s="37">
        <v>0.80208333333333337</v>
      </c>
      <c r="O365" s="30">
        <v>0.13055555555555556</v>
      </c>
      <c r="P365" s="38">
        <v>39.799999999999997</v>
      </c>
      <c r="Q365" s="35">
        <v>0.13055555555555556</v>
      </c>
      <c r="W365" s="29" t="s">
        <v>188</v>
      </c>
      <c r="X365"/>
    </row>
    <row r="366" spans="2:24">
      <c r="B366" s="43" t="s">
        <v>675</v>
      </c>
      <c r="C366" s="25"/>
      <c r="D366" s="35">
        <v>0.31388888888888888</v>
      </c>
      <c r="E366" s="35">
        <v>0.31388888888888888</v>
      </c>
      <c r="F366" s="35">
        <v>0.3840277777777778</v>
      </c>
      <c r="G366" s="35">
        <v>0.3840277777777778</v>
      </c>
      <c r="H366" s="29" t="s">
        <v>37</v>
      </c>
      <c r="I366" s="37">
        <v>0.32430555555555557</v>
      </c>
      <c r="J366" s="29" t="s">
        <v>37</v>
      </c>
      <c r="K366" s="30">
        <v>0.37708333333333333</v>
      </c>
      <c r="L366" s="27" t="s">
        <v>62</v>
      </c>
      <c r="M366" s="30">
        <v>0.33333333333333331</v>
      </c>
      <c r="N366" s="37">
        <v>0.375</v>
      </c>
      <c r="O366" s="30">
        <v>5.2777777777777778E-2</v>
      </c>
      <c r="P366" s="38">
        <v>18.2</v>
      </c>
      <c r="Q366" s="35">
        <v>5.2777777777777778E-2</v>
      </c>
      <c r="W366" s="29" t="s">
        <v>188</v>
      </c>
      <c r="X366"/>
    </row>
    <row r="367" spans="2:24">
      <c r="B367" s="43" t="s">
        <v>676</v>
      </c>
      <c r="C367" s="25"/>
      <c r="D367" s="35">
        <v>0.39930555555555558</v>
      </c>
      <c r="E367" s="35">
        <v>0.39930555555555558</v>
      </c>
      <c r="F367" s="35">
        <v>0.47291666666666665</v>
      </c>
      <c r="G367" s="35">
        <v>0.47291666666666665</v>
      </c>
      <c r="H367" s="29" t="s">
        <v>37</v>
      </c>
      <c r="I367" s="37">
        <v>0.40625</v>
      </c>
      <c r="J367" s="29" t="s">
        <v>37</v>
      </c>
      <c r="K367" s="30">
        <v>0.46597222222222223</v>
      </c>
      <c r="L367" s="27" t="s">
        <v>538</v>
      </c>
      <c r="M367" s="30">
        <v>0.41041666666666665</v>
      </c>
      <c r="N367" s="37">
        <v>0.46388888888888891</v>
      </c>
      <c r="O367" s="30">
        <v>5.9722222222222225E-2</v>
      </c>
      <c r="P367" s="38">
        <v>18.600000000000001</v>
      </c>
      <c r="Q367" s="35">
        <v>5.9722222222222225E-2</v>
      </c>
      <c r="W367" s="29" t="s">
        <v>188</v>
      </c>
      <c r="X367"/>
    </row>
    <row r="368" spans="2:24">
      <c r="B368" s="43" t="s">
        <v>677</v>
      </c>
      <c r="C368" s="25"/>
      <c r="D368" s="35">
        <v>0.53819444444444442</v>
      </c>
      <c r="E368" s="35">
        <v>0.53819444444444442</v>
      </c>
      <c r="F368" s="35">
        <v>0.6118055555555556</v>
      </c>
      <c r="G368" s="35">
        <v>0.6118055555555556</v>
      </c>
      <c r="H368" s="29" t="s">
        <v>37</v>
      </c>
      <c r="I368" s="37">
        <v>0.54513888888888884</v>
      </c>
      <c r="J368" s="29" t="s">
        <v>37</v>
      </c>
      <c r="K368" s="30">
        <v>0.60486111111111107</v>
      </c>
      <c r="L368" s="27" t="s">
        <v>166</v>
      </c>
      <c r="M368" s="30">
        <v>0.5493055555555556</v>
      </c>
      <c r="N368" s="37">
        <v>0.60277777777777775</v>
      </c>
      <c r="O368" s="30">
        <v>5.9722222222222225E-2</v>
      </c>
      <c r="P368" s="38">
        <v>18.600000000000001</v>
      </c>
      <c r="Q368" s="35">
        <v>5.9722222222222225E-2</v>
      </c>
      <c r="W368" s="29" t="s">
        <v>188</v>
      </c>
      <c r="X368"/>
    </row>
    <row r="369" spans="2:29">
      <c r="B369" s="43" t="s">
        <v>678</v>
      </c>
      <c r="C369" s="25"/>
      <c r="D369" s="35">
        <v>0.62152777777777779</v>
      </c>
      <c r="E369" s="35">
        <v>0.62152777777777779</v>
      </c>
      <c r="F369" s="35">
        <v>0.69513888888888886</v>
      </c>
      <c r="G369" s="35">
        <v>0.69513888888888886</v>
      </c>
      <c r="H369" s="29" t="s">
        <v>37</v>
      </c>
      <c r="I369" s="37">
        <v>0.62847222222222221</v>
      </c>
      <c r="J369" s="29" t="s">
        <v>37</v>
      </c>
      <c r="K369" s="30">
        <v>0.68819444444444444</v>
      </c>
      <c r="L369" s="27" t="s">
        <v>538</v>
      </c>
      <c r="M369" s="30">
        <v>0.63263888888888886</v>
      </c>
      <c r="N369" s="37">
        <v>0.68611111111111112</v>
      </c>
      <c r="O369" s="30">
        <v>5.9722222222222225E-2</v>
      </c>
      <c r="P369" s="38">
        <v>18.600000000000001</v>
      </c>
      <c r="Q369" s="35">
        <v>5.9722222222222225E-2</v>
      </c>
      <c r="W369" s="29" t="s">
        <v>188</v>
      </c>
      <c r="X369"/>
    </row>
    <row r="370" spans="2:29">
      <c r="B370" s="43" t="s">
        <v>415</v>
      </c>
      <c r="C370" s="45"/>
      <c r="D370" s="30" t="str">
        <f ca="1">IF($A$4="平日","6:42","7:32")</f>
        <v>7:32</v>
      </c>
      <c r="E370" s="30" t="str">
        <f ca="1">IF($A$4="平日","6:42","7:32")</f>
        <v>7:32</v>
      </c>
      <c r="F370" s="30" t="str">
        <f ca="1">IF($A$4="平日","19:35","16:41")</f>
        <v>16:41</v>
      </c>
      <c r="G370" s="30" t="str">
        <f ca="1">IF($A$4="平日","19:35","16:41")</f>
        <v>16:41</v>
      </c>
      <c r="H370" s="29" t="s">
        <v>37</v>
      </c>
      <c r="I370" s="30" t="str">
        <f ca="1">IF($A$4="平日","6:57","7:47")</f>
        <v>7:47</v>
      </c>
      <c r="J370" s="29" t="s">
        <v>37</v>
      </c>
      <c r="K370" s="30" t="str">
        <f ca="1">IF($A$4="平日","19:25","16:31")</f>
        <v>16:31</v>
      </c>
      <c r="L370" s="30" t="str">
        <f ca="1">IF($A$4="平日","1061    1060    1050","1588    1060    1061")</f>
        <v>1588    1060    1061</v>
      </c>
      <c r="M370" s="30" t="str">
        <f ca="1">IF($A$4="平日","7:18","8:00")</f>
        <v>8:00</v>
      </c>
      <c r="N370" s="30" t="str">
        <f ca="1">IF($A$4="平日","19:15","16:28")</f>
        <v>16:28</v>
      </c>
      <c r="O370" s="30" t="str">
        <f ca="1">IF($A$4="平日","8:15","5:34")</f>
        <v>5:34</v>
      </c>
      <c r="P370" s="38">
        <f ca="1">IF($A$4="平日",107,74)</f>
        <v>74</v>
      </c>
      <c r="Q370" s="30" t="str">
        <f ca="1">IF($A$4="平日","8:39","5:59")</f>
        <v>5:59</v>
      </c>
      <c r="R370" s="30"/>
      <c r="S370" s="27"/>
      <c r="T370" s="27"/>
      <c r="W370" s="29" t="s">
        <v>188</v>
      </c>
      <c r="X370"/>
    </row>
    <row r="371" spans="2:29">
      <c r="B371" s="43" t="s">
        <v>416</v>
      </c>
      <c r="C371" s="45"/>
      <c r="D371" s="30" t="str">
        <f ca="1">IF($A$4="平日","7:06","12:15")</f>
        <v>12:15</v>
      </c>
      <c r="E371" s="30" t="str">
        <f ca="1">IF($A$4="平日","7:06","12:15")</f>
        <v>12:15</v>
      </c>
      <c r="F371" s="30" t="str">
        <f ca="1">IF($A$4="平日","8:35","15:53")</f>
        <v>15:53</v>
      </c>
      <c r="G371" s="30" t="str">
        <f ca="1">IF($A$4="平日","8:35","15:53")</f>
        <v>15:53</v>
      </c>
      <c r="H371" s="29" t="s">
        <v>37</v>
      </c>
      <c r="I371" s="30" t="str">
        <f ca="1">IF($A$4="平日","7:21","12:25")</f>
        <v>12:25</v>
      </c>
      <c r="J371" s="29" t="s">
        <v>37</v>
      </c>
      <c r="K371" s="30" t="str">
        <f ca="1">IF($A$4="平日","8:25","15:43")</f>
        <v>15:43</v>
      </c>
      <c r="L371" s="30" t="str">
        <f ca="1">IF($A$4="平日","407","1060    1588")</f>
        <v>1060    1588</v>
      </c>
      <c r="M371" s="30" t="str">
        <f ca="1">IF($A$4="平日","7:34","12:31")</f>
        <v>12:31</v>
      </c>
      <c r="N371" s="30" t="str">
        <f ca="1">IF($A$4="平日","8:00","15:40")</f>
        <v>15:40</v>
      </c>
      <c r="O371" s="30" t="str">
        <f ca="1">IF($A$4="平日","1:04","2:52")</f>
        <v>2:52</v>
      </c>
      <c r="P371" s="38">
        <f ca="1">IF($A$4="平日",19.2,37.2)</f>
        <v>37.200000000000003</v>
      </c>
      <c r="Q371" s="30" t="str">
        <f ca="1">IF($A$4="平日","1:29","3:12")</f>
        <v>3:12</v>
      </c>
      <c r="W371" s="29" t="s">
        <v>188</v>
      </c>
      <c r="X371"/>
    </row>
    <row r="372" spans="2:29">
      <c r="B372" s="43" t="s">
        <v>417</v>
      </c>
      <c r="C372" s="45"/>
      <c r="D372" s="35">
        <v>0.2986111111111111</v>
      </c>
      <c r="E372" s="35">
        <v>0.2986111111111111</v>
      </c>
      <c r="F372" s="35">
        <v>0.36041666666666666</v>
      </c>
      <c r="G372" s="35">
        <v>0.36041666666666666</v>
      </c>
      <c r="H372" s="29" t="s">
        <v>37</v>
      </c>
      <c r="I372" s="37">
        <v>0.30902777777777779</v>
      </c>
      <c r="J372" s="29" t="s">
        <v>37</v>
      </c>
      <c r="K372" s="30">
        <v>0.35347222222222224</v>
      </c>
      <c r="L372" s="27" t="s">
        <v>110</v>
      </c>
      <c r="M372" s="30">
        <v>0.31805555555555554</v>
      </c>
      <c r="N372" s="37">
        <v>0.33611111111111114</v>
      </c>
      <c r="O372" s="30">
        <v>4.4444444444444446E-2</v>
      </c>
      <c r="P372" s="38">
        <v>19.2</v>
      </c>
      <c r="Q372" s="35">
        <v>6.1805555555555558E-2</v>
      </c>
      <c r="W372" s="29" t="s">
        <v>188</v>
      </c>
      <c r="X372"/>
    </row>
    <row r="373" spans="2:29">
      <c r="B373" s="43" t="s">
        <v>418</v>
      </c>
      <c r="C373" s="45"/>
      <c r="D373" s="35">
        <v>0.66041666666666665</v>
      </c>
      <c r="E373" s="35">
        <v>0.66041666666666665</v>
      </c>
      <c r="F373" s="35">
        <v>0.85833333333333328</v>
      </c>
      <c r="G373" s="35">
        <v>0.85833333333333328</v>
      </c>
      <c r="H373" s="29" t="s">
        <v>37</v>
      </c>
      <c r="I373" s="36">
        <v>0.66736111111111107</v>
      </c>
      <c r="J373" s="29" t="s">
        <v>37</v>
      </c>
      <c r="K373" s="36">
        <v>0.85138888888888886</v>
      </c>
      <c r="L373" s="27" t="s">
        <v>174</v>
      </c>
      <c r="M373" s="35">
        <v>0.67638888888888893</v>
      </c>
      <c r="N373" s="36">
        <v>0.84444444444444444</v>
      </c>
      <c r="O373" s="36">
        <v>0.14444444444444443</v>
      </c>
      <c r="P373" s="38">
        <v>55.9</v>
      </c>
      <c r="Q373" s="35">
        <v>0.17222222222222222</v>
      </c>
      <c r="W373" s="29" t="s">
        <v>188</v>
      </c>
      <c r="X373"/>
    </row>
    <row r="374" spans="2:29">
      <c r="B374" s="43" t="s">
        <v>419</v>
      </c>
      <c r="C374" s="45"/>
      <c r="D374" s="35">
        <v>0.62847222222222221</v>
      </c>
      <c r="E374" s="35">
        <v>0.62847222222222221</v>
      </c>
      <c r="F374" s="35">
        <v>0.88749999999999996</v>
      </c>
      <c r="G374" s="35">
        <v>0.88749999999999996</v>
      </c>
      <c r="H374" s="29" t="s">
        <v>37</v>
      </c>
      <c r="I374" s="36">
        <v>0.63541666666666663</v>
      </c>
      <c r="J374" s="29" t="s">
        <v>37</v>
      </c>
      <c r="K374" s="36">
        <v>0.88055555555555554</v>
      </c>
      <c r="L374" s="27" t="s">
        <v>111</v>
      </c>
      <c r="M374" s="35">
        <v>0.64444444444444449</v>
      </c>
      <c r="N374" s="36">
        <v>0.87361111111111112</v>
      </c>
      <c r="O374" s="36">
        <v>0.2</v>
      </c>
      <c r="P374" s="38">
        <v>84.6</v>
      </c>
      <c r="Q374" s="35">
        <v>0.22222222222222221</v>
      </c>
      <c r="W374" s="29" t="s">
        <v>188</v>
      </c>
      <c r="X374"/>
    </row>
    <row r="375" spans="2:29">
      <c r="B375" s="43"/>
      <c r="C375" s="25"/>
      <c r="H375" s="29"/>
      <c r="I375" s="37"/>
      <c r="J375" s="29"/>
      <c r="K375" s="30"/>
      <c r="L375" s="27"/>
      <c r="M375" s="30"/>
      <c r="N375" s="37"/>
      <c r="O375" s="30"/>
      <c r="P375" s="38"/>
      <c r="Q375" s="35"/>
      <c r="U375" s="35"/>
      <c r="V375" s="35"/>
      <c r="W375" s="29"/>
      <c r="X375"/>
    </row>
    <row r="376" spans="2:29">
      <c r="B376" s="43" t="s">
        <v>471</v>
      </c>
      <c r="C376" s="25"/>
      <c r="D376" s="35">
        <v>0.31388888888888888</v>
      </c>
      <c r="E376" s="35">
        <v>0.31388888888888888</v>
      </c>
      <c r="F376" s="35">
        <v>0.38263888888888892</v>
      </c>
      <c r="G376" s="35">
        <v>0.38263888888888892</v>
      </c>
      <c r="H376" s="29" t="s">
        <v>37</v>
      </c>
      <c r="I376" s="37">
        <v>0.32430555555555557</v>
      </c>
      <c r="J376" s="29" t="s">
        <v>37</v>
      </c>
      <c r="K376" s="30">
        <v>0.3756944444444445</v>
      </c>
      <c r="L376" s="27" t="s">
        <v>254</v>
      </c>
      <c r="M376" s="30">
        <v>0.33333333333333331</v>
      </c>
      <c r="N376" s="37">
        <v>0.36875000000000002</v>
      </c>
      <c r="O376" s="30">
        <v>4.4444444444444446E-2</v>
      </c>
      <c r="P376" s="38">
        <v>19.2</v>
      </c>
      <c r="Q376" s="35">
        <v>6.1805555555555558E-2</v>
      </c>
      <c r="U376" s="35"/>
      <c r="V376" s="35"/>
      <c r="W376" s="29" t="s">
        <v>188</v>
      </c>
      <c r="X376"/>
    </row>
    <row r="377" spans="2:29">
      <c r="B377" s="43" t="s">
        <v>472</v>
      </c>
      <c r="C377" s="25"/>
      <c r="D377" s="35">
        <v>0.64374999999999993</v>
      </c>
      <c r="E377" s="35">
        <v>0.64374999999999993</v>
      </c>
      <c r="F377" s="35">
        <v>0.70208333333333339</v>
      </c>
      <c r="G377" s="35">
        <v>0.70208333333333339</v>
      </c>
      <c r="H377" s="29" t="s">
        <v>37</v>
      </c>
      <c r="I377" s="37">
        <v>0.65069444444444446</v>
      </c>
      <c r="J377" s="29" t="s">
        <v>37</v>
      </c>
      <c r="K377" s="30">
        <v>0.69513888888888886</v>
      </c>
      <c r="L377" s="27" t="s">
        <v>175</v>
      </c>
      <c r="M377" s="30">
        <v>0.67013888888888884</v>
      </c>
      <c r="N377" s="37">
        <v>0.68819444444444444</v>
      </c>
      <c r="O377" s="30">
        <v>4.4444444444444446E-2</v>
      </c>
      <c r="P377" s="38">
        <v>19.600000000000001</v>
      </c>
      <c r="Q377" s="35">
        <v>5.8333333333333327E-2</v>
      </c>
      <c r="U377" s="35"/>
      <c r="V377" s="35"/>
      <c r="W377" s="29" t="s">
        <v>188</v>
      </c>
      <c r="X377"/>
    </row>
    <row r="378" spans="2:29">
      <c r="B378" s="43" t="s">
        <v>473</v>
      </c>
      <c r="C378" s="25"/>
      <c r="D378" s="35">
        <v>0.6958333333333333</v>
      </c>
      <c r="E378" s="35">
        <v>1.9458333333333335</v>
      </c>
      <c r="F378" s="35">
        <v>0.75416666666666676</v>
      </c>
      <c r="G378" s="35">
        <v>0.75416666666666676</v>
      </c>
      <c r="H378" s="29" t="s">
        <v>37</v>
      </c>
      <c r="I378" s="37">
        <v>0.70277777777777783</v>
      </c>
      <c r="J378" s="29" t="s">
        <v>37</v>
      </c>
      <c r="K378" s="30">
        <v>0.74722222222222223</v>
      </c>
      <c r="L378" s="27" t="s">
        <v>175</v>
      </c>
      <c r="M378" s="30">
        <v>0.72222222222222221</v>
      </c>
      <c r="N378" s="37">
        <v>0.7402777777777777</v>
      </c>
      <c r="O378" s="30">
        <v>4.4444444444444446E-2</v>
      </c>
      <c r="P378" s="38">
        <v>19.600000000000001</v>
      </c>
      <c r="Q378" s="35">
        <v>5.8333333333333327E-2</v>
      </c>
      <c r="U378" s="35"/>
      <c r="V378" s="35"/>
      <c r="W378" s="29" t="s">
        <v>188</v>
      </c>
      <c r="X378"/>
    </row>
    <row r="379" spans="2:29">
      <c r="B379" s="43" t="s">
        <v>474</v>
      </c>
      <c r="C379" s="25"/>
      <c r="D379" s="35">
        <v>0.64374999999999993</v>
      </c>
      <c r="E379" s="35">
        <v>0.64374999999999993</v>
      </c>
      <c r="F379" s="35">
        <v>0.75416666666666676</v>
      </c>
      <c r="G379" s="35">
        <v>0.33749999999999997</v>
      </c>
      <c r="H379" s="29" t="s">
        <v>37</v>
      </c>
      <c r="I379" s="37">
        <v>0.65069444444444446</v>
      </c>
      <c r="J379" s="29" t="s">
        <v>37</v>
      </c>
      <c r="K379" s="30">
        <v>0.74722222222222223</v>
      </c>
      <c r="L379" s="27" t="s">
        <v>175</v>
      </c>
      <c r="M379" s="30">
        <v>0.67013888888888884</v>
      </c>
      <c r="N379" s="37">
        <v>0.7402777777777777</v>
      </c>
      <c r="O379" s="30">
        <v>8.8888888888888892E-2</v>
      </c>
      <c r="P379" s="38">
        <v>39.200000000000003</v>
      </c>
      <c r="Q379" s="35">
        <v>0.11666666666666667</v>
      </c>
      <c r="U379" s="35"/>
      <c r="V379" s="35"/>
      <c r="W379" s="29" t="s">
        <v>188</v>
      </c>
    </row>
    <row r="380" spans="2:29">
      <c r="B380" s="43" t="s">
        <v>480</v>
      </c>
      <c r="C380" s="25"/>
      <c r="D380" s="35">
        <v>0.65416666666666667</v>
      </c>
      <c r="E380" s="35">
        <v>0.65416666666666667</v>
      </c>
      <c r="F380" s="35">
        <v>0.75416666666666676</v>
      </c>
      <c r="G380" s="35">
        <v>0.33749999999999997</v>
      </c>
      <c r="H380" s="29" t="s">
        <v>37</v>
      </c>
      <c r="I380" s="37">
        <v>0.66111111111111109</v>
      </c>
      <c r="J380" s="29" t="s">
        <v>37</v>
      </c>
      <c r="K380" s="30">
        <v>0.74722222222222223</v>
      </c>
      <c r="L380" s="27" t="s">
        <v>175</v>
      </c>
      <c r="M380" s="30">
        <v>0.68055555555555547</v>
      </c>
      <c r="N380" s="37">
        <v>0.7402777777777777</v>
      </c>
      <c r="O380" s="30">
        <v>8.8888888888888892E-2</v>
      </c>
      <c r="P380" s="38">
        <v>39.200000000000003</v>
      </c>
      <c r="Q380" s="35">
        <v>0.11666666666666667</v>
      </c>
      <c r="U380" s="35"/>
      <c r="V380" s="35"/>
      <c r="W380" s="29" t="s">
        <v>188</v>
      </c>
      <c r="X380" t="s">
        <v>242</v>
      </c>
      <c r="Y380" t="s">
        <v>243</v>
      </c>
      <c r="Z380" t="s">
        <v>241</v>
      </c>
      <c r="AA380" t="s">
        <v>39</v>
      </c>
    </row>
    <row r="381" spans="2:29">
      <c r="B381" s="132" t="s">
        <v>475</v>
      </c>
      <c r="D381" s="36" t="e">
        <f ca="1">M381-$X381</f>
        <v>#NAME?</v>
      </c>
      <c r="E381" s="36" t="e">
        <f ca="1">M381-$X381</f>
        <v>#NAME?</v>
      </c>
      <c r="F381" s="35" t="e">
        <f t="shared" ref="F381:F382" ca="1" si="0">N381+Y381</f>
        <v>#NAME?</v>
      </c>
      <c r="G381" s="35" t="e">
        <f t="shared" ref="G381:G382" ca="1" si="1">N381+Y381</f>
        <v>#NAME?</v>
      </c>
      <c r="H381" s="29" t="s">
        <v>37</v>
      </c>
      <c r="I381" s="36" t="e">
        <f t="shared" ref="I381:I382" ca="1" si="2">D381+Z381</f>
        <v>#NAME?</v>
      </c>
      <c r="J381" s="29" t="s">
        <v>37</v>
      </c>
      <c r="K381" s="35" t="e">
        <f ca="1">N381+AC381</f>
        <v>#NAME?</v>
      </c>
      <c r="L381" s="15" t="s">
        <v>254</v>
      </c>
      <c r="M381" s="30" t="e">
        <f ca="1">IF(印刷プレビュー!X13="附属 中　[リスト外1]             ",印刷プレビュー!Z13,IF(印刷プレビュー!X24="附属 中　[リスト外1]             ",印刷プレビュー!Z24,IF(印刷プレビュー!X35="附属 中　[リスト外1]             ",印刷プレビュー!Z35,IFVALUE("0:00"))))</f>
        <v>#NAME?</v>
      </c>
      <c r="N381" s="36" t="e">
        <f ca="1">M381+AA381</f>
        <v>#NAME?</v>
      </c>
      <c r="O381" s="36">
        <v>4.4444444444444446E-2</v>
      </c>
      <c r="P381">
        <v>19.600000000000001</v>
      </c>
      <c r="Q381" s="35">
        <v>5.8333333333333327E-2</v>
      </c>
      <c r="R381" s="36"/>
      <c r="S381"/>
      <c r="T381"/>
      <c r="U381" s="36" t="e">
        <f ca="1">D381</f>
        <v>#NAME?</v>
      </c>
      <c r="V381" s="35" t="e">
        <f ca="1">F381</f>
        <v>#NAME?</v>
      </c>
      <c r="W381" s="29" t="s">
        <v>188</v>
      </c>
      <c r="X381" s="36">
        <v>2.6388888888888889E-2</v>
      </c>
      <c r="Y381" s="36">
        <v>1.3888888888888888E-2</v>
      </c>
      <c r="Z381" s="36">
        <v>1.9444444444444445E-2</v>
      </c>
      <c r="AA381" s="36">
        <v>1.8055555555555557E-2</v>
      </c>
      <c r="AC381" s="36">
        <v>6.9444444444444441E-3</v>
      </c>
    </row>
    <row r="382" spans="2:29">
      <c r="B382" s="132" t="s">
        <v>476</v>
      </c>
      <c r="D382" s="36" t="e">
        <f ca="1">M382-$X382</f>
        <v>#NAME?</v>
      </c>
      <c r="E382" s="36" t="e">
        <f ca="1">M382-$X382</f>
        <v>#NAME?</v>
      </c>
      <c r="F382" s="35" t="e">
        <f t="shared" ca="1" si="0"/>
        <v>#NAME?</v>
      </c>
      <c r="G382" s="35" t="e">
        <f t="shared" ca="1" si="1"/>
        <v>#NAME?</v>
      </c>
      <c r="H382" s="29" t="s">
        <v>37</v>
      </c>
      <c r="I382" s="36" t="e">
        <f t="shared" ca="1" si="2"/>
        <v>#NAME?</v>
      </c>
      <c r="J382" s="29" t="s">
        <v>37</v>
      </c>
      <c r="K382" s="35" t="e">
        <f ca="1">N382+AC382</f>
        <v>#NAME?</v>
      </c>
      <c r="L382" s="15" t="s">
        <v>254</v>
      </c>
      <c r="M382" s="30" t="e">
        <f ca="1">IF(印刷プレビュー!X24="附属 中　[リスト外2]             ",印刷プレビュー!Z24,IF(印刷プレビュー!X35="附属 中　[リスト外2]             ",印刷プレビュー!Z35,IFVALUE("0:00")))</f>
        <v>#NAME?</v>
      </c>
      <c r="N382" s="36" t="e">
        <f ca="1">M382+AA382</f>
        <v>#NAME?</v>
      </c>
      <c r="O382" s="36">
        <v>4.4444444444444446E-2</v>
      </c>
      <c r="P382">
        <v>19.600000000000001</v>
      </c>
      <c r="Q382" s="35">
        <v>5.8333333333333327E-2</v>
      </c>
      <c r="R382" s="36"/>
      <c r="S382"/>
      <c r="T382"/>
      <c r="U382" s="36" t="e">
        <f ca="1">D382</f>
        <v>#NAME?</v>
      </c>
      <c r="V382" s="35" t="e">
        <f ca="1">F382</f>
        <v>#NAME?</v>
      </c>
      <c r="W382" s="29" t="s">
        <v>188</v>
      </c>
      <c r="X382" s="36">
        <v>2.6388888888888889E-2</v>
      </c>
      <c r="Y382" s="36">
        <v>1.3888888888888888E-2</v>
      </c>
      <c r="Z382" s="36">
        <v>1.9444444444444445E-2</v>
      </c>
      <c r="AA382" s="36">
        <v>1.8055555555555557E-2</v>
      </c>
      <c r="AC382" s="36">
        <v>6.9444444444444441E-3</v>
      </c>
    </row>
    <row r="383" spans="2:29">
      <c r="B383" s="132"/>
      <c r="D383" s="36"/>
      <c r="E383" s="36"/>
      <c r="H383" s="29"/>
      <c r="J383" s="29"/>
      <c r="M383" s="30"/>
      <c r="P383"/>
      <c r="Q383" s="35"/>
      <c r="R383" s="36"/>
      <c r="S383"/>
      <c r="T383"/>
      <c r="U383" s="36"/>
      <c r="V383" s="35"/>
      <c r="W383" s="29"/>
      <c r="X383" s="36"/>
      <c r="Y383" s="36"/>
      <c r="Z383" s="36"/>
      <c r="AA383" s="36"/>
      <c r="AC383" s="36"/>
    </row>
    <row r="384" spans="2:29">
      <c r="B384" s="43" t="s">
        <v>477</v>
      </c>
      <c r="D384" s="36">
        <v>0.73124999999999996</v>
      </c>
      <c r="E384" s="36">
        <v>0.73124999999999996</v>
      </c>
      <c r="F384" s="35">
        <v>0.90208333333333335</v>
      </c>
      <c r="G384" s="35">
        <v>0.90208333333333335</v>
      </c>
      <c r="H384" s="29" t="s">
        <v>37</v>
      </c>
      <c r="I384" s="36">
        <v>0.73819444444444449</v>
      </c>
      <c r="J384" s="29" t="s">
        <v>37</v>
      </c>
      <c r="K384" s="35">
        <v>0.89513888888888893</v>
      </c>
      <c r="L384" s="15" t="s">
        <v>169</v>
      </c>
      <c r="M384" s="35">
        <v>0.75069444444444444</v>
      </c>
      <c r="N384" s="36">
        <v>0.88472222222222219</v>
      </c>
      <c r="O384" s="36">
        <v>8.1250000000000003E-2</v>
      </c>
      <c r="P384">
        <v>43.2</v>
      </c>
      <c r="Q384" s="35">
        <v>0.11805555555555555</v>
      </c>
      <c r="R384" s="36"/>
      <c r="S384"/>
      <c r="T384"/>
      <c r="U384" s="36"/>
      <c r="V384" s="35"/>
      <c r="W384" s="29" t="s">
        <v>188</v>
      </c>
      <c r="X384" s="36"/>
      <c r="Y384" s="36"/>
      <c r="Z384" s="36"/>
      <c r="AA384" s="36"/>
      <c r="AC384" s="36"/>
    </row>
    <row r="385" spans="2:24">
      <c r="B385" s="43"/>
      <c r="C385" s="25"/>
      <c r="H385" s="29"/>
      <c r="I385" s="37"/>
      <c r="J385" s="29"/>
      <c r="K385" s="30"/>
      <c r="L385" s="27"/>
      <c r="M385" s="30"/>
      <c r="N385" s="37"/>
      <c r="O385" s="30"/>
      <c r="P385" s="38"/>
      <c r="Q385" s="35"/>
      <c r="U385" s="35"/>
      <c r="V385" s="35"/>
      <c r="W385" s="29"/>
      <c r="X385"/>
    </row>
    <row r="386" spans="2:24">
      <c r="B386" s="43" t="s">
        <v>420</v>
      </c>
      <c r="C386" s="25"/>
      <c r="D386" s="35">
        <v>0.25</v>
      </c>
      <c r="E386" s="35">
        <v>0.25</v>
      </c>
      <c r="F386" s="35" t="s">
        <v>248</v>
      </c>
      <c r="G386" s="35" t="s">
        <v>248</v>
      </c>
      <c r="H386" s="29" t="s">
        <v>37</v>
      </c>
      <c r="I386" s="35">
        <v>0.25</v>
      </c>
      <c r="J386" s="29" t="s">
        <v>37</v>
      </c>
      <c r="K386" s="30" t="s">
        <v>248</v>
      </c>
      <c r="L386" s="28" t="s">
        <v>421</v>
      </c>
      <c r="M386" s="35">
        <v>0.25</v>
      </c>
      <c r="N386" s="37" t="s">
        <v>248</v>
      </c>
      <c r="O386" s="30">
        <v>0</v>
      </c>
      <c r="P386" s="28" t="s">
        <v>123</v>
      </c>
      <c r="Q386" s="30">
        <v>0</v>
      </c>
      <c r="W386" s="29" t="s">
        <v>125</v>
      </c>
      <c r="X386"/>
    </row>
    <row r="387" spans="2:24">
      <c r="B387" s="43" t="s">
        <v>422</v>
      </c>
      <c r="C387" s="25"/>
      <c r="D387" s="35">
        <v>0.26041666666666669</v>
      </c>
      <c r="E387" s="35">
        <v>0.26041666666666669</v>
      </c>
      <c r="F387" s="35" t="s">
        <v>248</v>
      </c>
      <c r="G387" s="35" t="s">
        <v>248</v>
      </c>
      <c r="H387" s="29" t="s">
        <v>37</v>
      </c>
      <c r="I387" s="35">
        <v>0.26041666666666669</v>
      </c>
      <c r="J387" s="29" t="s">
        <v>37</v>
      </c>
      <c r="K387" s="30" t="s">
        <v>248</v>
      </c>
      <c r="L387" s="28" t="s">
        <v>421</v>
      </c>
      <c r="M387" s="35">
        <v>0.26041666666666669</v>
      </c>
      <c r="N387" s="37" t="s">
        <v>248</v>
      </c>
      <c r="O387" s="28" t="s">
        <v>122</v>
      </c>
      <c r="P387" s="28" t="s">
        <v>123</v>
      </c>
      <c r="Q387" s="28" t="s">
        <v>122</v>
      </c>
      <c r="W387" s="29" t="s">
        <v>126</v>
      </c>
      <c r="X387"/>
    </row>
    <row r="388" spans="2:24">
      <c r="B388" s="43" t="s">
        <v>423</v>
      </c>
      <c r="C388" s="25"/>
      <c r="D388" s="35" t="s">
        <v>248</v>
      </c>
      <c r="E388" s="35" t="s">
        <v>248</v>
      </c>
      <c r="F388" s="35">
        <v>0.79166666666666663</v>
      </c>
      <c r="G388" s="35">
        <v>0.79166666666666663</v>
      </c>
      <c r="H388" s="29" t="s">
        <v>37</v>
      </c>
      <c r="I388" s="37" t="s">
        <v>248</v>
      </c>
      <c r="J388" s="29" t="s">
        <v>37</v>
      </c>
      <c r="K388" s="35">
        <v>0.79166666666666663</v>
      </c>
      <c r="L388" s="28" t="s">
        <v>421</v>
      </c>
      <c r="M388" s="30" t="s">
        <v>248</v>
      </c>
      <c r="N388" s="35">
        <v>0.79166666666666663</v>
      </c>
      <c r="O388" s="28" t="s">
        <v>122</v>
      </c>
      <c r="P388" s="28" t="s">
        <v>123</v>
      </c>
      <c r="Q388" s="28" t="s">
        <v>122</v>
      </c>
      <c r="W388" s="29" t="s">
        <v>127</v>
      </c>
      <c r="X388"/>
    </row>
    <row r="389" spans="2:24">
      <c r="B389" s="43" t="s">
        <v>424</v>
      </c>
      <c r="C389" s="25"/>
      <c r="D389" s="35" t="s">
        <v>248</v>
      </c>
      <c r="E389" s="35" t="s">
        <v>248</v>
      </c>
      <c r="F389" s="35">
        <v>0.875</v>
      </c>
      <c r="G389" s="35">
        <v>0.875</v>
      </c>
      <c r="H389" s="29" t="s">
        <v>37</v>
      </c>
      <c r="I389" s="37" t="s">
        <v>248</v>
      </c>
      <c r="J389" s="29" t="s">
        <v>37</v>
      </c>
      <c r="K389" s="35">
        <v>0.875</v>
      </c>
      <c r="L389" s="28" t="s">
        <v>421</v>
      </c>
      <c r="M389" s="30" t="s">
        <v>248</v>
      </c>
      <c r="N389" s="35">
        <v>0.875</v>
      </c>
      <c r="O389" s="28" t="s">
        <v>122</v>
      </c>
      <c r="P389" s="28" t="s">
        <v>123</v>
      </c>
      <c r="Q389" s="28" t="s">
        <v>122</v>
      </c>
      <c r="W389" s="29" t="s">
        <v>128</v>
      </c>
      <c r="X389"/>
    </row>
    <row r="390" spans="2:24">
      <c r="B390" s="43"/>
      <c r="C390" s="25"/>
      <c r="H390" s="29"/>
      <c r="I390" s="37"/>
      <c r="J390" s="29"/>
      <c r="L390" s="28"/>
      <c r="M390" s="30"/>
      <c r="N390" s="35"/>
      <c r="O390" s="28"/>
      <c r="P390" s="28"/>
      <c r="Q390" s="28"/>
      <c r="W390" s="29"/>
      <c r="X390"/>
    </row>
    <row r="391" spans="2:24">
      <c r="B391" s="43" t="s">
        <v>425</v>
      </c>
      <c r="C391" s="45"/>
      <c r="D391" s="30">
        <v>0.30486111111111114</v>
      </c>
      <c r="E391" s="30">
        <v>0.30486111111111114</v>
      </c>
      <c r="F391" s="30">
        <v>0.82986111111111116</v>
      </c>
      <c r="G391" s="30">
        <v>0.82986111111111116</v>
      </c>
      <c r="H391" s="29" t="s">
        <v>37</v>
      </c>
      <c r="I391" s="30">
        <v>0.31527777777777777</v>
      </c>
      <c r="J391" s="29" t="s">
        <v>37</v>
      </c>
      <c r="K391" s="30">
        <v>0.82291666666666663</v>
      </c>
      <c r="L391" s="27">
        <v>1082</v>
      </c>
      <c r="M391" s="30">
        <v>0.32430555555555557</v>
      </c>
      <c r="N391" s="30">
        <v>0.80763888888888891</v>
      </c>
      <c r="O391" s="30">
        <v>0.27291666666666664</v>
      </c>
      <c r="P391" s="38">
        <v>100</v>
      </c>
      <c r="Q391" s="30">
        <v>0.30763888888888891</v>
      </c>
      <c r="R391" s="36"/>
      <c r="S391"/>
      <c r="T391"/>
      <c r="U391"/>
      <c r="V391"/>
      <c r="W391" s="29" t="s">
        <v>188</v>
      </c>
      <c r="X391"/>
    </row>
    <row r="392" spans="2:24">
      <c r="B392" s="43" t="s">
        <v>426</v>
      </c>
      <c r="C392" s="45"/>
      <c r="D392" s="30" t="str">
        <f ca="1">IF($A$4="平日","9:11","9:39")</f>
        <v>9:39</v>
      </c>
      <c r="E392" s="30" t="str">
        <f ca="1">IF($A$4="平日","9:11","9:39")</f>
        <v>9:39</v>
      </c>
      <c r="F392" s="30" t="str">
        <f ca="1">IF($A$4="平日","21:22","20:05")</f>
        <v>20:05</v>
      </c>
      <c r="G392" s="30" t="str">
        <f ca="1">IF($A$4="平日","21:22","20:05")</f>
        <v>20:05</v>
      </c>
      <c r="H392" s="29" t="s">
        <v>37</v>
      </c>
      <c r="I392" s="30" t="str">
        <f ca="1">IF($A$4="平日","9:16","9:44")</f>
        <v>9:44</v>
      </c>
      <c r="J392" s="29" t="s">
        <v>37</v>
      </c>
      <c r="K392" s="30" t="str">
        <f ca="1">IF($A$4="平日","21:12","19:55")</f>
        <v>19:55</v>
      </c>
      <c r="L392" s="29" t="str">
        <f ca="1">IF($A$4="平日","510  1037     509","1037      509")</f>
        <v>1037      509</v>
      </c>
      <c r="M392" s="30" t="str">
        <f ca="1">IF($A$4="平日","9:40","10:10")</f>
        <v>10:10</v>
      </c>
      <c r="N392" s="30" t="str">
        <f ca="1">IF($A$4="平日","21:02","19:45")</f>
        <v>19:45</v>
      </c>
      <c r="O392" s="30" t="str">
        <f ca="1">IF($A$4="平日","7:25","6:25")</f>
        <v>6:25</v>
      </c>
      <c r="P392" s="38">
        <f ca="1">IF($A$4="平日",93.1,77.8)</f>
        <v>77.8</v>
      </c>
      <c r="Q392" s="30" t="str">
        <f ca="1">IF($A$4="平日","8:16","7:21")</f>
        <v>7:21</v>
      </c>
      <c r="R392" s="36"/>
      <c r="S392"/>
      <c r="T392"/>
      <c r="U392"/>
      <c r="V392"/>
      <c r="W392" s="29" t="s">
        <v>188</v>
      </c>
      <c r="X392"/>
    </row>
    <row r="393" spans="2:24">
      <c r="B393" s="43" t="s">
        <v>427</v>
      </c>
      <c r="C393" s="45"/>
      <c r="D393" s="30" t="str">
        <f ca="1">IF($A$4="平日","7:06","9:02")</f>
        <v>9:02</v>
      </c>
      <c r="E393" s="30" t="str">
        <f ca="1">IF($A$4="平日","7:06","9:02")</f>
        <v>9:02</v>
      </c>
      <c r="F393" s="30" t="str">
        <f ca="1">IF($A$4="平日","19:43","19:01")</f>
        <v>19:01</v>
      </c>
      <c r="G393" s="30" t="str">
        <f ca="1">IF($A$4="平日","19:43","19:01")</f>
        <v>19:01</v>
      </c>
      <c r="H393" s="29" t="s">
        <v>37</v>
      </c>
      <c r="I393" s="30" t="str">
        <f ca="1">IF($A$4="平日","7:21","9:17")</f>
        <v>9:17</v>
      </c>
      <c r="J393" s="29" t="s">
        <v>37</v>
      </c>
      <c r="K393" s="30" t="str">
        <f ca="1">IF($A$4="平日","19:33","19:01")</f>
        <v>19:01</v>
      </c>
      <c r="L393" s="29" t="str">
        <f ca="1">IF($A$4="平日","462","509     510")</f>
        <v>509     510</v>
      </c>
      <c r="M393" s="30" t="str">
        <f ca="1">IF($A$4="平日","7:44","9:30")</f>
        <v>9:30</v>
      </c>
      <c r="N393" s="30" t="str">
        <f ca="1">IF($A$4="平日","19:13","18:30")</f>
        <v>18:30</v>
      </c>
      <c r="O393" s="30" t="str">
        <f ca="1">IF($A$4="平日","5:45","6:20")</f>
        <v>6:20</v>
      </c>
      <c r="P393" s="38">
        <f ca="1">IF($A$4="平日",108,78)</f>
        <v>78</v>
      </c>
      <c r="Q393" s="30" t="str">
        <f ca="1">IF($A$4="平日","6:36","7:19")</f>
        <v>7:19</v>
      </c>
      <c r="R393" s="36"/>
      <c r="S393"/>
      <c r="T393"/>
      <c r="U393"/>
      <c r="V393"/>
      <c r="W393" s="29" t="s">
        <v>188</v>
      </c>
      <c r="X393"/>
    </row>
    <row r="394" spans="2:24">
      <c r="B394" s="43" t="s">
        <v>428</v>
      </c>
      <c r="C394" s="45"/>
      <c r="D394" s="30" t="str">
        <f ca="1">IF($A$4="平日","6:47","10:26")</f>
        <v>10:26</v>
      </c>
      <c r="E394" s="30" t="str">
        <f ca="1">IF($A$4="平日","6:47","10:26")</f>
        <v>10:26</v>
      </c>
      <c r="F394" s="30" t="str">
        <f ca="1">IF($A$4="平日","19:48","19:48")</f>
        <v>19:48</v>
      </c>
      <c r="G394" s="30" t="str">
        <f ca="1">IF($A$4="平日","19:48","19:48")</f>
        <v>19:48</v>
      </c>
      <c r="H394" s="29" t="s">
        <v>37</v>
      </c>
      <c r="I394" s="30" t="str">
        <f ca="1">IF($A$4="平日","7:02","10:41")</f>
        <v>10:41</v>
      </c>
      <c r="J394" s="29" t="s">
        <v>37</v>
      </c>
      <c r="K394" s="30" t="str">
        <f ca="1">IF($A$4="平日","19:38","19:38")</f>
        <v>19:38</v>
      </c>
      <c r="L394" s="29" t="str">
        <f ca="1">IF($A$4="平日","1055     508","508    507")</f>
        <v>508    507</v>
      </c>
      <c r="M394" s="30" t="str">
        <f ca="1">IF($A$4="平日","7:35","11:04")</f>
        <v>11:04</v>
      </c>
      <c r="N394" s="30" t="str">
        <f ca="1">IF($A$4="平日","19:08","19:08")</f>
        <v>19:08</v>
      </c>
      <c r="O394" s="30" t="str">
        <f ca="1">IF($A$4="平日","7:26","5:21")</f>
        <v>5:21</v>
      </c>
      <c r="P394" s="38">
        <f ca="1">IF($A$4="平日",115.3,84.9)</f>
        <v>84.9</v>
      </c>
      <c r="Q394" s="30" t="str">
        <f ca="1">IF($A$4="平日","8:29","6:13")</f>
        <v>6:13</v>
      </c>
      <c r="R394" s="36"/>
      <c r="S394"/>
      <c r="T394"/>
      <c r="U394"/>
      <c r="V394"/>
      <c r="W394" s="29" t="s">
        <v>188</v>
      </c>
      <c r="X394"/>
    </row>
    <row r="395" spans="2:24">
      <c r="B395" s="43" t="s">
        <v>429</v>
      </c>
      <c r="C395" s="45"/>
      <c r="D395" s="30" t="str">
        <f ca="1">IF($A$4="平日","6:22","8:22")</f>
        <v>8:22</v>
      </c>
      <c r="E395" s="30" t="str">
        <f ca="1">IF($A$4="平日","6:22","8:22")</f>
        <v>8:22</v>
      </c>
      <c r="F395" s="30" t="str">
        <f ca="1">IF($A$4="平日","17:56","17:56")</f>
        <v>17:56</v>
      </c>
      <c r="G395" s="30" t="str">
        <f ca="1">IF($A$4="平日","17:56","17:56")</f>
        <v>17:56</v>
      </c>
      <c r="H395" s="29" t="s">
        <v>37</v>
      </c>
      <c r="I395" s="30" t="str">
        <f ca="1">IF($A$4="平日","6:37","8:37")</f>
        <v>8:37</v>
      </c>
      <c r="J395" s="29" t="s">
        <v>37</v>
      </c>
      <c r="K395" s="30" t="str">
        <f ca="1">IF($A$4="平日","17:46","17:46")</f>
        <v>17:46</v>
      </c>
      <c r="L395" s="29" t="str">
        <f ca="1">IF($A$4="平日","509     1038     1037","1037     1038")</f>
        <v>1037     1038</v>
      </c>
      <c r="M395" s="30" t="str">
        <f ca="1">IF($A$4="平日","6:50","8:50")</f>
        <v>8:50</v>
      </c>
      <c r="N395" s="30" t="str">
        <f ca="1">IF($A$4="平日","17:35","17:45")</f>
        <v>17:45</v>
      </c>
      <c r="O395" s="30" t="str">
        <f ca="1">IF($A$4="平日","7:33","6:20")</f>
        <v>6:20</v>
      </c>
      <c r="P395" s="38">
        <f ca="1">IF($A$4="平日",93,78)</f>
        <v>78</v>
      </c>
      <c r="Q395" s="30" t="str">
        <f ca="1">IF($A$4="平日","8:24","6:54")</f>
        <v>6:54</v>
      </c>
      <c r="R395" s="36"/>
      <c r="S395"/>
      <c r="T395"/>
      <c r="U395"/>
      <c r="V395"/>
      <c r="W395" s="29" t="s">
        <v>188</v>
      </c>
      <c r="X395"/>
    </row>
    <row r="396" spans="2:24">
      <c r="B396" s="102"/>
      <c r="C396" s="25"/>
      <c r="D396" s="30"/>
      <c r="E396" s="30"/>
      <c r="F396" s="30"/>
      <c r="G396" s="30"/>
      <c r="H396" s="29"/>
      <c r="I396" s="30"/>
      <c r="J396" s="29"/>
      <c r="K396" s="30"/>
      <c r="L396" s="29"/>
      <c r="M396" s="30"/>
      <c r="N396" s="30"/>
      <c r="O396" s="30"/>
      <c r="P396" s="38"/>
      <c r="Q396" s="30"/>
      <c r="R396" s="36"/>
      <c r="S396"/>
      <c r="T396"/>
      <c r="U396"/>
      <c r="V396"/>
      <c r="W396" s="29"/>
      <c r="X396"/>
    </row>
    <row r="397" spans="2:24">
      <c r="B397" s="43" t="s">
        <v>430</v>
      </c>
      <c r="C397" s="45"/>
      <c r="D397" s="30" t="str">
        <f ca="1">IF($A$4="平日","6:27","7:08")</f>
        <v>7:08</v>
      </c>
      <c r="E397" s="30" t="str">
        <f ca="1">IF($A$4="平日","6:27","7:08")</f>
        <v>7:08</v>
      </c>
      <c r="F397" s="30" t="str">
        <f ca="1">IF($A$4="平日","20:18","19:35")</f>
        <v>19:35</v>
      </c>
      <c r="G397" s="30" t="str">
        <f ca="1">IF($A$4="平日","20:18","19:35")</f>
        <v>19:35</v>
      </c>
      <c r="H397" s="29" t="s">
        <v>37</v>
      </c>
      <c r="I397" s="30" t="str">
        <f ca="1">IF($A$4="平日","6:42","7:23")</f>
        <v>7:23</v>
      </c>
      <c r="J397" s="29" t="s">
        <v>37</v>
      </c>
      <c r="K397" s="30" t="str">
        <f ca="1">IF($A$4="平日","20:08","19:25")</f>
        <v>19:25</v>
      </c>
      <c r="L397" s="29" t="str">
        <f ca="1">IF($A$4="平日","508     507","1588     1060     1061 1050")</f>
        <v>1588     1060     1061 1050</v>
      </c>
      <c r="M397" s="30" t="str">
        <f ca="1">IF($A$4="平日","7:15","7:36")</f>
        <v>7:36</v>
      </c>
      <c r="N397" s="30" t="str">
        <f ca="1">IF($A$4="平日","19:38","18:15")</f>
        <v>18:15</v>
      </c>
      <c r="O397" s="30" t="str">
        <f ca="1">IF($A$4="平日","7:13","7:48")</f>
        <v>7:48</v>
      </c>
      <c r="P397" s="38">
        <f ca="1">IF($A$4="平日",115.3,100.5)</f>
        <v>100.5</v>
      </c>
      <c r="Q397" s="30" t="str">
        <f ca="1">IF($A$4="平日","7:55","8:13")</f>
        <v>8:13</v>
      </c>
      <c r="R397" s="36"/>
      <c r="S397"/>
      <c r="T397"/>
      <c r="U397"/>
      <c r="V397"/>
      <c r="W397" s="29" t="s">
        <v>188</v>
      </c>
      <c r="X397"/>
    </row>
    <row r="398" spans="2:24" ht="14.25" customHeight="1">
      <c r="B398" s="43" t="s">
        <v>431</v>
      </c>
      <c r="C398" s="45"/>
      <c r="D398" s="30" t="str">
        <f ca="1">IF($A$4="平日","8:57","9:12")</f>
        <v>9:12</v>
      </c>
      <c r="E398" s="30" t="str">
        <f ca="1">IF($A$4="平日","8:57","9:12")</f>
        <v>9:12</v>
      </c>
      <c r="F398" s="30" t="str">
        <f ca="1">IF($A$4="平日","20:55","19:30")</f>
        <v>19:30</v>
      </c>
      <c r="G398" s="30" t="str">
        <f ca="1">IF($A$4="平日","20:55","19:30")</f>
        <v>19:30</v>
      </c>
      <c r="H398" s="29" t="s">
        <v>37</v>
      </c>
      <c r="I398" s="30" t="str">
        <f ca="1">IF($A$4="平日","9:02","9:27")</f>
        <v>9:27</v>
      </c>
      <c r="J398" s="29" t="s">
        <v>37</v>
      </c>
      <c r="K398" s="30" t="str">
        <f ca="1">IF($A$4="平日","20:45","19:20")</f>
        <v>19:20</v>
      </c>
      <c r="L398" s="29" t="str">
        <f ca="1">IF($A$4="平日","509     510     1038","510     1038")</f>
        <v>510     1038</v>
      </c>
      <c r="M398" s="30" t="str">
        <f ca="1">IF($A$4="平日","9:30","9:40")</f>
        <v>9:40</v>
      </c>
      <c r="N398" s="30" t="str">
        <f ca="1">IF($A$4="平日","20:35","19:15")</f>
        <v>19:15</v>
      </c>
      <c r="O398" s="30" t="str">
        <f ca="1">IF($A$4="平日","7:38","6:30")</f>
        <v>6:30</v>
      </c>
      <c r="P398" s="38">
        <f ca="1">IF($A$4="平日",93.1,81.6)</f>
        <v>81.599999999999994</v>
      </c>
      <c r="Q398" s="30" t="str">
        <f ca="1">IF($A$4="平日","8:38","7:08")</f>
        <v>7:08</v>
      </c>
      <c r="R398" s="36"/>
      <c r="S398"/>
      <c r="T398"/>
      <c r="U398"/>
      <c r="V398"/>
      <c r="W398" s="29" t="s">
        <v>188</v>
      </c>
      <c r="X398"/>
    </row>
    <row r="399" spans="2:24" ht="14.25" customHeight="1">
      <c r="B399" s="43" t="s">
        <v>432</v>
      </c>
      <c r="C399" s="45"/>
      <c r="D399" s="30" t="str">
        <f ca="1">IF($A$4="平日","6:59","11:39")</f>
        <v>11:39</v>
      </c>
      <c r="E399" s="30" t="str">
        <f ca="1">IF($A$4="平日","6:59","11:39")</f>
        <v>11:39</v>
      </c>
      <c r="F399" s="30" t="str">
        <f ca="1">IF($A$4="平日","20:15","20:45")</f>
        <v>20:45</v>
      </c>
      <c r="G399" s="30" t="str">
        <f ca="1">IF($A$4="平日","20:15","20:45")</f>
        <v>20:45</v>
      </c>
      <c r="H399" s="29" t="s">
        <v>37</v>
      </c>
      <c r="I399" s="30" t="str">
        <f ca="1">IF($A$4="平日","7:14","11:44")</f>
        <v>11:44</v>
      </c>
      <c r="J399" s="29" t="s">
        <v>37</v>
      </c>
      <c r="K399" s="30" t="str">
        <f ca="1">IF($A$4="平日","20:05","20:35")</f>
        <v>20:35</v>
      </c>
      <c r="L399" s="29" t="str">
        <f ca="1">IF($A$4="平日","1588     1060","510     1037")</f>
        <v>510     1037</v>
      </c>
      <c r="M399" s="30" t="str">
        <f ca="1">IF($A$4="平日","7:27","12:10")</f>
        <v>12:10</v>
      </c>
      <c r="N399" s="30" t="str">
        <f ca="1">IF($A$4="平日","19:55","20:25")</f>
        <v>20:25</v>
      </c>
      <c r="O399" s="30" t="str">
        <f ca="1">IF($A$4="平日","7:52","5:12")</f>
        <v>5:12</v>
      </c>
      <c r="P399" s="38">
        <f ca="1">IF($A$4="平日",100.5,63)</f>
        <v>63</v>
      </c>
      <c r="Q399" s="30" t="str">
        <f ca="1">IF($A$4="平日","8:14","6:06")</f>
        <v>6:06</v>
      </c>
      <c r="R399" s="36"/>
      <c r="S399"/>
      <c r="T399"/>
      <c r="U399"/>
      <c r="V399"/>
      <c r="W399" s="29" t="s">
        <v>188</v>
      </c>
      <c r="X399"/>
    </row>
    <row r="400" spans="2:24" ht="14.25" customHeight="1">
      <c r="B400" s="43" t="s">
        <v>433</v>
      </c>
      <c r="C400" s="45"/>
      <c r="D400" s="30" t="str">
        <f ca="1">IF($A$4="平日","6:27","8:32")</f>
        <v>8:32</v>
      </c>
      <c r="E400" s="30" t="str">
        <f ca="1">IF($A$4="平日","6:27","8:32")</f>
        <v>8:32</v>
      </c>
      <c r="F400" s="30" t="str">
        <f ca="1">IF($A$4="平日","17:56","17:56")</f>
        <v>17:56</v>
      </c>
      <c r="G400" s="30" t="str">
        <f ca="1">IF($A$4="平日","17:56","17:56")</f>
        <v>17:56</v>
      </c>
      <c r="H400" s="29" t="s">
        <v>37</v>
      </c>
      <c r="I400" s="30" t="str">
        <f ca="1">IF($A$4="平日","6:42","8:47")</f>
        <v>8:47</v>
      </c>
      <c r="J400" s="29" t="s">
        <v>37</v>
      </c>
      <c r="K400" s="30" t="str">
        <f ca="1">IF($A$4="平日","17:46","17:46")</f>
        <v>17:46</v>
      </c>
      <c r="L400" s="29" t="str">
        <f ca="1">IF($A$4="平日","510     1037     1038","1038     1037")</f>
        <v>1038     1037</v>
      </c>
      <c r="M400" s="30" t="str">
        <f ca="1">IF($A$4="平日","6:55","9:00")</f>
        <v>9:00</v>
      </c>
      <c r="N400" s="30" t="str">
        <f ca="1">IF($A$4="平日","17:45","17:35")</f>
        <v>17:35</v>
      </c>
      <c r="O400" s="30" t="str">
        <f ca="1">IF($A$4="平日","7:38","6:20")</f>
        <v>6:20</v>
      </c>
      <c r="P400" s="38">
        <f ca="1">IF($A$4="平日",93.2,78.2)</f>
        <v>78.2</v>
      </c>
      <c r="Q400" s="30" t="str">
        <f ca="1">IF($A$4="平日","8:19","7:04")</f>
        <v>7:04</v>
      </c>
      <c r="R400" s="36"/>
      <c r="S400"/>
      <c r="T400"/>
      <c r="U400"/>
      <c r="V400"/>
      <c r="W400" s="29" t="s">
        <v>188</v>
      </c>
      <c r="X400"/>
    </row>
    <row r="401" spans="2:24">
      <c r="B401" s="43" t="s">
        <v>547</v>
      </c>
      <c r="C401" s="45"/>
      <c r="D401" s="30">
        <v>0.33263888888888887</v>
      </c>
      <c r="E401" s="30">
        <v>0.33263888888888887</v>
      </c>
      <c r="F401" s="30">
        <v>0.9243055555555556</v>
      </c>
      <c r="G401" s="30">
        <v>0.9243055555555556</v>
      </c>
      <c r="H401" s="29" t="s">
        <v>37</v>
      </c>
      <c r="I401" s="30">
        <v>0.34305555555555556</v>
      </c>
      <c r="J401" s="29" t="s">
        <v>37</v>
      </c>
      <c r="K401" s="30">
        <v>0.91736111111111107</v>
      </c>
      <c r="L401" s="29">
        <v>1085</v>
      </c>
      <c r="M401" s="30">
        <v>0.35208333333333336</v>
      </c>
      <c r="N401" s="30">
        <v>0.91041666666666665</v>
      </c>
      <c r="O401" s="30">
        <v>0.31180555555555556</v>
      </c>
      <c r="P401" s="38">
        <v>115.4</v>
      </c>
      <c r="Q401" s="30">
        <v>0.34583333333333333</v>
      </c>
      <c r="R401" s="36"/>
      <c r="S401"/>
      <c r="T401"/>
      <c r="U401"/>
      <c r="V401"/>
      <c r="W401" s="29" t="s">
        <v>188</v>
      </c>
      <c r="X401"/>
    </row>
    <row r="402" spans="2:24">
      <c r="B402" s="102"/>
      <c r="C402" s="25"/>
      <c r="D402" s="30"/>
      <c r="E402" s="30"/>
      <c r="F402" s="30"/>
      <c r="G402" s="30"/>
      <c r="H402" s="29"/>
      <c r="I402" s="30"/>
      <c r="J402" s="29"/>
      <c r="K402" s="30"/>
      <c r="L402" s="30"/>
      <c r="M402" s="30"/>
      <c r="N402" s="30"/>
      <c r="O402" s="30"/>
      <c r="P402" s="38"/>
      <c r="Q402" s="30"/>
      <c r="R402" s="36"/>
      <c r="S402"/>
      <c r="T402"/>
      <c r="U402"/>
      <c r="V402"/>
      <c r="W402"/>
      <c r="X402"/>
    </row>
    <row r="403" spans="2:24">
      <c r="B403" s="183" t="s">
        <v>465</v>
      </c>
      <c r="D403" s="35">
        <v>0.22222222222222221</v>
      </c>
      <c r="E403" s="35">
        <v>0.22222222222222221</v>
      </c>
      <c r="F403" s="35">
        <v>0.33680555555555558</v>
      </c>
      <c r="G403" s="35">
        <v>0.33680555555555558</v>
      </c>
      <c r="H403" s="29" t="s">
        <v>37</v>
      </c>
      <c r="I403" s="36">
        <v>0.2326388888888889</v>
      </c>
      <c r="J403" s="29" t="s">
        <v>37</v>
      </c>
      <c r="K403" s="35">
        <v>0.3298611111111111</v>
      </c>
      <c r="L403" s="27" t="s">
        <v>232</v>
      </c>
      <c r="M403" s="35">
        <v>0.23958333333333334</v>
      </c>
      <c r="N403" s="36">
        <v>0.32291666666666669</v>
      </c>
      <c r="O403" s="36">
        <v>7.2222222222222215E-2</v>
      </c>
      <c r="P403" s="38">
        <v>40</v>
      </c>
      <c r="Q403" s="35">
        <v>9.7222222222222224E-2</v>
      </c>
      <c r="R403" s="36"/>
      <c r="S403"/>
      <c r="T403"/>
      <c r="U403"/>
      <c r="V403"/>
      <c r="W403" s="29" t="s">
        <v>106</v>
      </c>
      <c r="X403"/>
    </row>
    <row r="404" spans="2:24">
      <c r="B404" s="183" t="s">
        <v>689</v>
      </c>
      <c r="D404" s="35">
        <v>0.22222222222222221</v>
      </c>
      <c r="E404" s="35">
        <v>0.22222222222222221</v>
      </c>
      <c r="F404" s="35">
        <v>0.40138888888888891</v>
      </c>
      <c r="G404" s="35">
        <v>0.40138888888888891</v>
      </c>
      <c r="H404" s="29" t="s">
        <v>37</v>
      </c>
      <c r="I404" s="36">
        <v>0.2326388888888889</v>
      </c>
      <c r="J404" s="30" t="s">
        <v>438</v>
      </c>
      <c r="K404" s="35">
        <v>0.39444444444444443</v>
      </c>
      <c r="L404" s="27"/>
      <c r="M404" s="35">
        <v>0.23958333333333334</v>
      </c>
      <c r="N404" s="36">
        <v>0.3888888888888889</v>
      </c>
      <c r="O404" s="36">
        <v>7.2916666666666671E-2</v>
      </c>
      <c r="P404" s="38">
        <v>38.5</v>
      </c>
      <c r="Q404" s="35">
        <v>0.15694444444444444</v>
      </c>
      <c r="R404" s="36"/>
      <c r="S404"/>
      <c r="T404"/>
      <c r="U404"/>
      <c r="V404"/>
      <c r="W404" s="29" t="s">
        <v>106</v>
      </c>
      <c r="X404"/>
    </row>
    <row r="405" spans="2:24">
      <c r="B405" s="183" t="s">
        <v>690</v>
      </c>
      <c r="D405" s="35">
        <v>0.39444444444444443</v>
      </c>
      <c r="E405" s="35">
        <v>0.39444444444444443</v>
      </c>
      <c r="F405" s="35">
        <v>0.51944444444444449</v>
      </c>
      <c r="G405" s="35">
        <v>0.51944444444444449</v>
      </c>
      <c r="H405" s="30" t="str">
        <f ca="1">IF($A$4="平日","本    社","北    浜")</f>
        <v>北    浜</v>
      </c>
      <c r="I405" s="36">
        <v>0.40138888888888891</v>
      </c>
      <c r="J405" s="29" t="s">
        <v>37</v>
      </c>
      <c r="K405" s="35">
        <v>0.51249999999999996</v>
      </c>
      <c r="L405" s="27" t="s">
        <v>232</v>
      </c>
      <c r="M405" s="35">
        <v>0.40833333333333333</v>
      </c>
      <c r="N405" s="36">
        <v>0.50694444444444442</v>
      </c>
      <c r="O405" s="30" t="str">
        <f ca="1">IF($A$4="平日","2:02","1:55")</f>
        <v>1:55</v>
      </c>
      <c r="P405" s="38">
        <f ca="1">IF($A$4="平日",41.2,38.7)</f>
        <v>38.700000000000003</v>
      </c>
      <c r="Q405" s="30" t="str">
        <f ca="1">IF($A$4="平日","2:40","2:23")</f>
        <v>2:23</v>
      </c>
      <c r="R405" s="36"/>
      <c r="S405"/>
      <c r="T405"/>
      <c r="U405"/>
      <c r="V405"/>
      <c r="W405" s="29" t="s">
        <v>106</v>
      </c>
      <c r="X405"/>
    </row>
    <row r="406" spans="2:24">
      <c r="B406" s="183" t="s">
        <v>691</v>
      </c>
      <c r="D406" s="35">
        <v>0.55763888888888891</v>
      </c>
      <c r="E406" s="35">
        <v>0.55763888888888891</v>
      </c>
      <c r="F406" s="35">
        <v>0.68055555555555558</v>
      </c>
      <c r="G406" s="35">
        <v>0.68055555555555558</v>
      </c>
      <c r="H406" s="29" t="s">
        <v>37</v>
      </c>
      <c r="I406" s="36">
        <v>0.56458333333333333</v>
      </c>
      <c r="J406" s="29" t="s">
        <v>37</v>
      </c>
      <c r="K406" s="35">
        <v>0.67361111111111116</v>
      </c>
      <c r="L406" s="27" t="s">
        <v>232</v>
      </c>
      <c r="M406" s="35">
        <v>0.57152777777777775</v>
      </c>
      <c r="N406" s="36">
        <v>0.66666666666666663</v>
      </c>
      <c r="O406" s="36">
        <v>8.4722222222222227E-2</v>
      </c>
      <c r="P406" s="38">
        <v>41.2</v>
      </c>
      <c r="Q406" s="35">
        <v>0.1076388888888889</v>
      </c>
      <c r="R406" s="36"/>
      <c r="S406"/>
      <c r="T406"/>
      <c r="U406"/>
      <c r="V406"/>
      <c r="W406" s="29" t="s">
        <v>106</v>
      </c>
      <c r="X406"/>
    </row>
    <row r="407" spans="2:24">
      <c r="B407" s="183" t="s">
        <v>679</v>
      </c>
      <c r="D407" s="35">
        <v>0.72222222222222221</v>
      </c>
      <c r="E407" s="35">
        <v>0.72222222222222221</v>
      </c>
      <c r="F407" s="35">
        <v>0.83888888888888891</v>
      </c>
      <c r="G407" s="35">
        <v>0.83888888888888891</v>
      </c>
      <c r="H407" s="29" t="s">
        <v>37</v>
      </c>
      <c r="I407" s="36">
        <v>0.72916666666666663</v>
      </c>
      <c r="J407" s="29" t="s">
        <v>37</v>
      </c>
      <c r="K407" s="35">
        <v>0.83194444444444449</v>
      </c>
      <c r="L407" s="27" t="s">
        <v>232</v>
      </c>
      <c r="M407" s="35">
        <v>0.73611111111111116</v>
      </c>
      <c r="N407" s="36">
        <v>0.82499999999999996</v>
      </c>
      <c r="O407" s="36">
        <v>8.9583333333333334E-2</v>
      </c>
      <c r="P407" s="38">
        <v>41.2</v>
      </c>
      <c r="Q407" s="35">
        <v>0.10277777777777777</v>
      </c>
      <c r="R407" s="36"/>
      <c r="S407"/>
      <c r="T407"/>
      <c r="U407"/>
      <c r="V407"/>
      <c r="W407" s="29" t="s">
        <v>106</v>
      </c>
      <c r="X407"/>
    </row>
    <row r="408" spans="2:24">
      <c r="B408" s="183" t="s">
        <v>466</v>
      </c>
      <c r="C408" s="45"/>
      <c r="D408" s="35">
        <v>0.22222222222222221</v>
      </c>
      <c r="E408" s="35">
        <v>0.22222222222222221</v>
      </c>
      <c r="F408" s="35">
        <v>0.83888888888888891</v>
      </c>
      <c r="G408" s="35">
        <v>0.83888888888888891</v>
      </c>
      <c r="H408" s="29" t="s">
        <v>37</v>
      </c>
      <c r="I408" s="36">
        <v>0.2326388888888889</v>
      </c>
      <c r="J408" s="29" t="s">
        <v>37</v>
      </c>
      <c r="K408" s="35">
        <v>0.83194444444444449</v>
      </c>
      <c r="L408" s="27" t="s">
        <v>232</v>
      </c>
      <c r="M408" s="35">
        <v>0.23958333333333334</v>
      </c>
      <c r="N408" s="36">
        <v>0.82499999999999996</v>
      </c>
      <c r="O408" s="30" t="str">
        <f ca="1">IF($A$4="平日","7:57","7:51")</f>
        <v>7:51</v>
      </c>
      <c r="P408" s="38">
        <f ca="1">IF($A$4="平日",164.5,160.7)</f>
        <v>160.69999999999999</v>
      </c>
      <c r="Q408" s="30" t="str">
        <f ca="1">IF($A$4="平日","11:47","10:28")</f>
        <v>10:28</v>
      </c>
      <c r="R408" s="36"/>
      <c r="S408"/>
      <c r="T408"/>
      <c r="U408"/>
      <c r="V408"/>
      <c r="W408" s="29" t="s">
        <v>106</v>
      </c>
      <c r="X408"/>
    </row>
    <row r="409" spans="2:24">
      <c r="B409" s="15"/>
      <c r="H409" s="29"/>
      <c r="P409"/>
      <c r="Q409"/>
      <c r="R409" s="36"/>
      <c r="S409"/>
      <c r="T409"/>
      <c r="U409"/>
      <c r="V409"/>
      <c r="W409"/>
      <c r="X409"/>
    </row>
    <row r="410" spans="2:24">
      <c r="B410" s="183" t="s">
        <v>692</v>
      </c>
      <c r="D410" s="35">
        <v>0.4597222222222222</v>
      </c>
      <c r="E410" s="35">
        <v>0.4597222222222222</v>
      </c>
      <c r="F410" s="142">
        <v>0.5854166666666667</v>
      </c>
      <c r="G410" s="142">
        <v>0.5854166666666667</v>
      </c>
      <c r="H410" s="29" t="s">
        <v>37</v>
      </c>
      <c r="I410" s="36">
        <v>0.47013888888888888</v>
      </c>
      <c r="J410" s="29" t="s">
        <v>37</v>
      </c>
      <c r="K410" s="142">
        <v>0.57847222222222228</v>
      </c>
      <c r="L410" s="27" t="s">
        <v>232</v>
      </c>
      <c r="M410" s="35">
        <v>0.47708333333333336</v>
      </c>
      <c r="N410" s="142">
        <v>0.57291666666666663</v>
      </c>
      <c r="O410" s="142">
        <v>8.4722222222222227E-2</v>
      </c>
      <c r="P410" s="38">
        <v>41.2</v>
      </c>
      <c r="Q410" s="142">
        <v>0.10833333333333334</v>
      </c>
      <c r="R410" s="36"/>
      <c r="S410"/>
      <c r="T410"/>
      <c r="U410"/>
      <c r="V410"/>
      <c r="W410" s="29" t="s">
        <v>106</v>
      </c>
      <c r="X410"/>
    </row>
    <row r="411" spans="2:24">
      <c r="B411" s="183" t="s">
        <v>680</v>
      </c>
      <c r="D411" s="35">
        <v>0.62847222222222221</v>
      </c>
      <c r="E411" s="35">
        <v>0.62847222222222221</v>
      </c>
      <c r="F411" s="142">
        <v>0.72430555555555554</v>
      </c>
      <c r="G411" s="142">
        <v>0.72430555555555554</v>
      </c>
      <c r="H411" s="29" t="s">
        <v>37</v>
      </c>
      <c r="I411" s="36">
        <v>0.63541666666666663</v>
      </c>
      <c r="J411" s="29" t="s">
        <v>37</v>
      </c>
      <c r="K411" s="142">
        <v>0.71736111111111112</v>
      </c>
      <c r="L411" s="27" t="s">
        <v>232</v>
      </c>
      <c r="M411" s="35">
        <v>0.64236111111111116</v>
      </c>
      <c r="N411" s="142">
        <v>0.7104166666666667</v>
      </c>
      <c r="O411" s="142">
        <v>8.4722222222222227E-2</v>
      </c>
      <c r="P411" s="38">
        <v>41.2</v>
      </c>
      <c r="Q411" s="142">
        <v>0.10972222222222222</v>
      </c>
      <c r="R411" s="36"/>
      <c r="S411"/>
      <c r="T411"/>
      <c r="U411"/>
      <c r="V411"/>
      <c r="W411" s="29" t="s">
        <v>106</v>
      </c>
      <c r="X411"/>
    </row>
    <row r="412" spans="2:24">
      <c r="B412" s="183" t="s">
        <v>549</v>
      </c>
      <c r="D412" s="35">
        <v>0.80902777777777779</v>
      </c>
      <c r="E412" s="35">
        <v>0.80902777777777779</v>
      </c>
      <c r="F412" s="35">
        <v>0.95833333333333337</v>
      </c>
      <c r="G412" s="35">
        <v>0.95833333333333337</v>
      </c>
      <c r="H412" s="29" t="s">
        <v>37</v>
      </c>
      <c r="I412" s="36">
        <v>0.81597222222222221</v>
      </c>
      <c r="J412" s="29" t="s">
        <v>37</v>
      </c>
      <c r="K412" s="35">
        <v>0.95138888888888884</v>
      </c>
      <c r="L412" s="27" t="s">
        <v>232</v>
      </c>
      <c r="M412" s="35">
        <v>0.82291666666666663</v>
      </c>
      <c r="N412" s="36">
        <v>0.94444444444444442</v>
      </c>
      <c r="O412" s="36">
        <v>7.4999999999999997E-2</v>
      </c>
      <c r="P412" s="38">
        <v>40.799999999999997</v>
      </c>
      <c r="Q412" s="35">
        <v>0.13541666666666666</v>
      </c>
      <c r="R412" s="36"/>
      <c r="S412"/>
      <c r="T412"/>
      <c r="U412"/>
      <c r="V412"/>
      <c r="W412" s="29" t="s">
        <v>106</v>
      </c>
      <c r="X412"/>
    </row>
    <row r="413" spans="2:24">
      <c r="B413" s="183" t="s">
        <v>550</v>
      </c>
      <c r="D413" s="35">
        <v>0.86111111111111116</v>
      </c>
      <c r="E413" s="35">
        <v>0.86111111111111116</v>
      </c>
      <c r="F413" s="35">
        <v>0.95833333333333337</v>
      </c>
      <c r="G413" s="35">
        <v>0.95833333333333337</v>
      </c>
      <c r="H413" s="29" t="s">
        <v>37</v>
      </c>
      <c r="I413" s="36">
        <v>0.86805555555555558</v>
      </c>
      <c r="J413" s="29" t="s">
        <v>37</v>
      </c>
      <c r="K413" s="35">
        <v>0.95138888888888884</v>
      </c>
      <c r="L413" s="27" t="s">
        <v>232</v>
      </c>
      <c r="M413" s="35">
        <v>0.86805555555555558</v>
      </c>
      <c r="N413" s="36">
        <v>0.94444444444444442</v>
      </c>
      <c r="O413" s="36">
        <v>7.1527777777777773E-2</v>
      </c>
      <c r="P413" s="38">
        <v>39.1</v>
      </c>
      <c r="Q413" s="35">
        <v>8.3333333333333329E-2</v>
      </c>
      <c r="R413" s="36"/>
      <c r="S413"/>
      <c r="T413"/>
      <c r="U413"/>
      <c r="V413"/>
      <c r="W413" s="29" t="s">
        <v>106</v>
      </c>
      <c r="X413"/>
    </row>
    <row r="414" spans="2:24">
      <c r="B414" s="183" t="s">
        <v>437</v>
      </c>
      <c r="C414" s="45"/>
      <c r="D414" s="30">
        <v>0.4597222222222222</v>
      </c>
      <c r="E414" s="30">
        <v>0.4597222222222222</v>
      </c>
      <c r="F414" s="35">
        <v>0.95833333333333337</v>
      </c>
      <c r="G414" s="35">
        <v>0.95833333333333337</v>
      </c>
      <c r="H414" s="29" t="s">
        <v>37</v>
      </c>
      <c r="I414" s="30">
        <v>0.47013888888888888</v>
      </c>
      <c r="J414" s="29" t="s">
        <v>37</v>
      </c>
      <c r="K414" s="30">
        <v>0.95138888888888884</v>
      </c>
      <c r="L414" s="27" t="s">
        <v>232</v>
      </c>
      <c r="M414" s="30">
        <v>0.47708333333333336</v>
      </c>
      <c r="N414" s="37">
        <v>0.94444444444444442</v>
      </c>
      <c r="O414" s="30" t="str">
        <f ca="1">IF($A$4="平日","5:52","5:47")</f>
        <v>5:47</v>
      </c>
      <c r="P414" s="38">
        <f ca="1">IF($A$4="平日",123.8,122.1)</f>
        <v>122.1</v>
      </c>
      <c r="Q414" s="30" t="str">
        <f ca="1">IF($A$4="平日","8:54","7:39")</f>
        <v>7:39</v>
      </c>
      <c r="R414" s="36"/>
      <c r="S414"/>
      <c r="T414"/>
      <c r="U414"/>
      <c r="V414"/>
      <c r="W414" s="29" t="s">
        <v>106</v>
      </c>
      <c r="X414"/>
    </row>
    <row r="415" spans="2:24">
      <c r="B415" s="15"/>
      <c r="H415" s="29"/>
      <c r="P415"/>
      <c r="Q415"/>
      <c r="R415" s="36"/>
      <c r="S415"/>
      <c r="T415"/>
      <c r="U415"/>
      <c r="V415"/>
      <c r="W415"/>
      <c r="X415"/>
    </row>
    <row r="416" spans="2:24">
      <c r="B416" s="183" t="s">
        <v>693</v>
      </c>
      <c r="D416" s="35">
        <v>0.3888888888888889</v>
      </c>
      <c r="E416" s="35">
        <v>0.3888888888888889</v>
      </c>
      <c r="F416" s="35">
        <v>0.51944444444444449</v>
      </c>
      <c r="G416" s="35">
        <v>0.51944444444444449</v>
      </c>
      <c r="H416" s="29" t="s">
        <v>37</v>
      </c>
      <c r="I416" s="36">
        <v>0.39930555555555558</v>
      </c>
      <c r="J416" s="29" t="s">
        <v>37</v>
      </c>
      <c r="K416" s="35">
        <v>0.51249999999999996</v>
      </c>
      <c r="L416" s="27" t="s">
        <v>232</v>
      </c>
      <c r="M416" s="35">
        <v>0.40625</v>
      </c>
      <c r="N416" s="36">
        <v>0.50694444444444442</v>
      </c>
      <c r="O416" s="30">
        <v>8.4722222222222227E-2</v>
      </c>
      <c r="P416" s="38">
        <v>41.2</v>
      </c>
      <c r="Q416" s="30">
        <v>0.11319444444444444</v>
      </c>
      <c r="R416" s="36"/>
      <c r="S416"/>
      <c r="T416"/>
      <c r="U416"/>
      <c r="V416"/>
      <c r="W416" s="29" t="s">
        <v>106</v>
      </c>
      <c r="X416"/>
    </row>
    <row r="417" spans="2:24">
      <c r="B417" s="183" t="s">
        <v>694</v>
      </c>
      <c r="D417" s="35">
        <v>0.55972222222222223</v>
      </c>
      <c r="E417" s="35">
        <v>0.55972222222222223</v>
      </c>
      <c r="F417" s="35">
        <v>0.6791666666666667</v>
      </c>
      <c r="G417" s="35">
        <v>0.6791666666666667</v>
      </c>
      <c r="H417" s="29" t="s">
        <v>37</v>
      </c>
      <c r="I417" s="36">
        <v>0.56666666666666665</v>
      </c>
      <c r="J417" s="29" t="s">
        <v>37</v>
      </c>
      <c r="K417" s="35">
        <v>0.67222222222222228</v>
      </c>
      <c r="L417" s="27" t="s">
        <v>232</v>
      </c>
      <c r="M417" s="35">
        <v>0.57361111111111107</v>
      </c>
      <c r="N417" s="36">
        <v>0.66666666666666663</v>
      </c>
      <c r="O417" s="36">
        <v>8.611111111111111E-2</v>
      </c>
      <c r="P417" s="38">
        <v>42</v>
      </c>
      <c r="Q417" s="35">
        <v>0.10555555555555556</v>
      </c>
      <c r="R417" s="36"/>
      <c r="S417"/>
      <c r="T417"/>
      <c r="U417"/>
      <c r="V417"/>
      <c r="W417" s="29" t="s">
        <v>106</v>
      </c>
      <c r="X417"/>
    </row>
    <row r="418" spans="2:24">
      <c r="B418" s="183" t="s">
        <v>681</v>
      </c>
      <c r="D418" s="35">
        <v>0.72430555555555554</v>
      </c>
      <c r="E418" s="35">
        <v>0.72430555555555554</v>
      </c>
      <c r="F418" s="35">
        <v>0.83888888888888891</v>
      </c>
      <c r="G418" s="35">
        <v>0.83888888888888891</v>
      </c>
      <c r="H418" s="29" t="s">
        <v>37</v>
      </c>
      <c r="I418" s="36">
        <v>0.73124999999999996</v>
      </c>
      <c r="J418" s="29" t="s">
        <v>37</v>
      </c>
      <c r="K418" s="35">
        <v>0.83194444444444449</v>
      </c>
      <c r="L418" s="27" t="s">
        <v>232</v>
      </c>
      <c r="M418" s="35">
        <v>0.73819444444444449</v>
      </c>
      <c r="N418" s="36">
        <v>0.82499999999999996</v>
      </c>
      <c r="O418" s="36">
        <v>8.9583333333333334E-2</v>
      </c>
      <c r="P418" s="38">
        <v>41.2</v>
      </c>
      <c r="Q418" s="35">
        <v>0.10069444444444445</v>
      </c>
      <c r="R418" s="36"/>
      <c r="S418"/>
      <c r="T418"/>
      <c r="U418"/>
      <c r="V418"/>
      <c r="W418" s="29" t="s">
        <v>106</v>
      </c>
      <c r="X418"/>
    </row>
    <row r="419" spans="2:24">
      <c r="B419" s="183" t="s">
        <v>439</v>
      </c>
      <c r="C419" s="45"/>
      <c r="D419" s="35">
        <v>0.3888888888888889</v>
      </c>
      <c r="E419" s="35">
        <v>0.3888888888888889</v>
      </c>
      <c r="F419" s="35">
        <v>0.83888888888888891</v>
      </c>
      <c r="G419" s="35">
        <v>0.83888888888888891</v>
      </c>
      <c r="H419" s="29" t="s">
        <v>37</v>
      </c>
      <c r="I419" s="36">
        <v>0.39930555555555558</v>
      </c>
      <c r="J419" s="29" t="s">
        <v>37</v>
      </c>
      <c r="K419" s="35">
        <v>0.83194444444444449</v>
      </c>
      <c r="L419" s="27" t="s">
        <v>232</v>
      </c>
      <c r="M419" s="35">
        <v>0.40625</v>
      </c>
      <c r="N419" s="36">
        <v>0.82499999999999996</v>
      </c>
      <c r="O419" s="30">
        <v>0.26041666666666669</v>
      </c>
      <c r="P419" s="38">
        <v>125.3</v>
      </c>
      <c r="Q419" s="30">
        <v>0.33680555555555558</v>
      </c>
      <c r="R419" s="36"/>
      <c r="S419"/>
      <c r="T419"/>
      <c r="U419"/>
      <c r="V419"/>
      <c r="W419" s="29" t="s">
        <v>106</v>
      </c>
      <c r="X419"/>
    </row>
    <row r="420" spans="2:24">
      <c r="B420" s="15"/>
      <c r="H420" s="29"/>
      <c r="P420"/>
      <c r="Q420"/>
      <c r="R420" s="36"/>
      <c r="S420"/>
      <c r="T420"/>
      <c r="U420"/>
      <c r="V420"/>
      <c r="W420"/>
      <c r="X420"/>
    </row>
    <row r="421" spans="2:24">
      <c r="B421" s="183" t="s">
        <v>695</v>
      </c>
      <c r="D421" s="35">
        <v>0.31458333333333333</v>
      </c>
      <c r="E421" s="35">
        <v>0.31458333333333333</v>
      </c>
      <c r="F421" s="35">
        <v>0.43958333333333333</v>
      </c>
      <c r="G421" s="35">
        <v>0.43958333333333333</v>
      </c>
      <c r="H421" s="29" t="s">
        <v>37</v>
      </c>
      <c r="I421" s="36">
        <v>0.32500000000000001</v>
      </c>
      <c r="J421" s="29" t="s">
        <v>37</v>
      </c>
      <c r="K421" s="35">
        <v>0.43263888888888891</v>
      </c>
      <c r="L421" s="27" t="s">
        <v>232</v>
      </c>
      <c r="M421" s="35">
        <v>0.33194444444444443</v>
      </c>
      <c r="N421" s="36">
        <v>0.42708333333333331</v>
      </c>
      <c r="O421" s="36">
        <v>8.611111111111111E-2</v>
      </c>
      <c r="P421" s="38">
        <v>42</v>
      </c>
      <c r="Q421" s="35">
        <v>0.1076388888888889</v>
      </c>
      <c r="R421" s="36"/>
      <c r="S421"/>
      <c r="T421"/>
      <c r="U421"/>
      <c r="V421"/>
      <c r="W421" s="29" t="s">
        <v>106</v>
      </c>
      <c r="X421"/>
    </row>
    <row r="422" spans="2:24">
      <c r="B422" s="183" t="s">
        <v>696</v>
      </c>
      <c r="D422" s="35">
        <v>0.46527777777777779</v>
      </c>
      <c r="E422" s="35">
        <v>0.46527777777777779</v>
      </c>
      <c r="F422" s="35">
        <v>0.59236111111111112</v>
      </c>
      <c r="G422" s="35">
        <v>0.59236111111111112</v>
      </c>
      <c r="H422" s="29" t="s">
        <v>37</v>
      </c>
      <c r="I422" s="36">
        <v>0.47222222222222221</v>
      </c>
      <c r="J422" s="29" t="s">
        <v>37</v>
      </c>
      <c r="K422" s="35">
        <v>0.5854166666666667</v>
      </c>
      <c r="L422" s="27" t="s">
        <v>232</v>
      </c>
      <c r="M422" s="35">
        <v>0.47916666666666669</v>
      </c>
      <c r="N422" s="36">
        <v>0.57986111111111116</v>
      </c>
      <c r="O422" s="36">
        <v>8.4722222222222227E-2</v>
      </c>
      <c r="P422" s="38">
        <v>41.2</v>
      </c>
      <c r="Q422" s="35">
        <v>0.11319444444444444</v>
      </c>
      <c r="R422" s="36"/>
      <c r="S422"/>
      <c r="T422"/>
      <c r="U422"/>
      <c r="V422"/>
      <c r="W422" s="29" t="s">
        <v>106</v>
      </c>
      <c r="X422"/>
    </row>
    <row r="423" spans="2:24">
      <c r="B423" s="183" t="s">
        <v>682</v>
      </c>
      <c r="D423" s="35">
        <v>0.62638888888888888</v>
      </c>
      <c r="E423" s="35">
        <v>0.62638888888888888</v>
      </c>
      <c r="F423" s="142">
        <v>0.75208333333333333</v>
      </c>
      <c r="G423" s="142">
        <v>0.75208333333333333</v>
      </c>
      <c r="H423" s="29" t="s">
        <v>37</v>
      </c>
      <c r="I423" s="36">
        <v>0.6333333333333333</v>
      </c>
      <c r="J423" s="29" t="s">
        <v>52</v>
      </c>
      <c r="K423" s="142">
        <v>0.74513888888888891</v>
      </c>
      <c r="L423" s="27" t="s">
        <v>232</v>
      </c>
      <c r="M423" s="35">
        <v>0.64027777777777772</v>
      </c>
      <c r="N423" s="142">
        <v>0.73819444444444449</v>
      </c>
      <c r="O423" s="36">
        <v>7.9861111111111105E-2</v>
      </c>
      <c r="P423" s="38">
        <v>38.700000000000003</v>
      </c>
      <c r="Q423" s="142">
        <v>0.10694444444444444</v>
      </c>
      <c r="R423" s="36"/>
      <c r="S423"/>
      <c r="T423"/>
      <c r="U423"/>
      <c r="V423"/>
      <c r="W423" s="29" t="s">
        <v>106</v>
      </c>
      <c r="X423"/>
    </row>
    <row r="424" spans="2:24">
      <c r="B424" s="183" t="s">
        <v>683</v>
      </c>
      <c r="D424" s="35">
        <v>0.75208333333333333</v>
      </c>
      <c r="E424" s="35">
        <v>0.75208333333333333</v>
      </c>
      <c r="F424" s="35">
        <v>0.88888888888888884</v>
      </c>
      <c r="G424" s="35">
        <v>0.88888888888888884</v>
      </c>
      <c r="H424" s="29" t="s">
        <v>52</v>
      </c>
      <c r="I424" s="36">
        <v>0.75902777777777775</v>
      </c>
      <c r="J424" s="29" t="s">
        <v>37</v>
      </c>
      <c r="K424" s="35">
        <v>0.88194444444444442</v>
      </c>
      <c r="L424" s="27" t="s">
        <v>232</v>
      </c>
      <c r="M424" s="35">
        <v>0.76597222222222217</v>
      </c>
      <c r="N424" s="36">
        <v>0.875</v>
      </c>
      <c r="O424" s="36">
        <v>8.611111111111111E-2</v>
      </c>
      <c r="P424" s="38">
        <v>39.299999999999997</v>
      </c>
      <c r="Q424" s="35">
        <v>0.11805555555555555</v>
      </c>
      <c r="R424" s="36"/>
      <c r="S424"/>
      <c r="T424"/>
      <c r="U424"/>
      <c r="V424"/>
      <c r="W424" s="29" t="s">
        <v>106</v>
      </c>
      <c r="X424"/>
    </row>
    <row r="425" spans="2:24">
      <c r="B425" s="183" t="s">
        <v>440</v>
      </c>
      <c r="C425" s="45"/>
      <c r="D425" s="35">
        <v>0.31458333333333333</v>
      </c>
      <c r="E425" s="35">
        <v>0.31458333333333333</v>
      </c>
      <c r="F425" s="35">
        <v>0.88888888888888884</v>
      </c>
      <c r="G425" s="35">
        <v>0.88888888888888884</v>
      </c>
      <c r="H425" s="29" t="s">
        <v>37</v>
      </c>
      <c r="I425" s="36">
        <v>0.32500000000000001</v>
      </c>
      <c r="J425" s="29" t="s">
        <v>37</v>
      </c>
      <c r="K425" s="35">
        <v>0.88194444444444442</v>
      </c>
      <c r="L425" s="27" t="s">
        <v>232</v>
      </c>
      <c r="M425" s="35">
        <v>0.33194444444444443</v>
      </c>
      <c r="N425" s="36">
        <v>0.875</v>
      </c>
      <c r="O425" s="36">
        <v>0.33680555555555558</v>
      </c>
      <c r="P425" s="38">
        <v>162.19999999999999</v>
      </c>
      <c r="Q425" s="142">
        <v>0.46319444444444446</v>
      </c>
      <c r="R425" s="36"/>
      <c r="S425"/>
      <c r="T425"/>
      <c r="U425"/>
      <c r="V425"/>
      <c r="W425" s="29" t="s">
        <v>106</v>
      </c>
      <c r="X425"/>
    </row>
    <row r="426" spans="2:24">
      <c r="B426" s="15"/>
      <c r="H426" s="29"/>
      <c r="J426" s="29"/>
      <c r="P426"/>
      <c r="Q426"/>
      <c r="R426" s="36"/>
      <c r="S426"/>
      <c r="T426"/>
      <c r="U426"/>
      <c r="V426"/>
      <c r="W426"/>
      <c r="X426"/>
    </row>
    <row r="427" spans="2:24">
      <c r="B427" s="183" t="s">
        <v>441</v>
      </c>
      <c r="C427" s="45"/>
      <c r="D427" s="30">
        <v>0.31041666666666667</v>
      </c>
      <c r="E427" s="30">
        <v>0.31041666666666667</v>
      </c>
      <c r="F427" s="30">
        <v>0.43263888888888891</v>
      </c>
      <c r="G427" s="30">
        <v>0.43263888888888891</v>
      </c>
      <c r="H427" s="29" t="s">
        <v>37</v>
      </c>
      <c r="I427" s="36">
        <v>0.32083333333333336</v>
      </c>
      <c r="J427" s="29" t="s">
        <v>37</v>
      </c>
      <c r="K427" s="30">
        <v>0.42569444444444443</v>
      </c>
      <c r="L427" s="27" t="s">
        <v>232</v>
      </c>
      <c r="M427" s="35">
        <v>0.32777777777777778</v>
      </c>
      <c r="N427" s="30">
        <v>0.4201388888888889</v>
      </c>
      <c r="O427" s="30">
        <v>8.4722222222222227E-2</v>
      </c>
      <c r="P427" s="38">
        <v>41.5</v>
      </c>
      <c r="Q427" s="30">
        <v>0.12222222222222222</v>
      </c>
      <c r="R427" s="38">
        <v>162.19999999999999</v>
      </c>
      <c r="S427"/>
      <c r="T427"/>
      <c r="U427"/>
      <c r="V427"/>
      <c r="W427" s="29" t="s">
        <v>106</v>
      </c>
      <c r="X427"/>
    </row>
    <row r="428" spans="2:24">
      <c r="B428" s="15"/>
      <c r="H428" s="29"/>
      <c r="J428" s="29"/>
      <c r="P428"/>
      <c r="Q428"/>
      <c r="R428" s="36"/>
      <c r="S428"/>
      <c r="T428"/>
      <c r="U428"/>
      <c r="V428"/>
      <c r="W428"/>
      <c r="X428"/>
    </row>
    <row r="429" spans="2:24">
      <c r="B429" s="183" t="s">
        <v>697</v>
      </c>
      <c r="D429" s="35">
        <v>0.30833333333333335</v>
      </c>
      <c r="E429" s="35">
        <v>0.30833333333333335</v>
      </c>
      <c r="F429" s="35">
        <v>0.43263888888888891</v>
      </c>
      <c r="G429" s="35">
        <v>0.43263888888888891</v>
      </c>
      <c r="H429" s="29" t="s">
        <v>37</v>
      </c>
      <c r="I429" s="36">
        <v>0.31874999999999998</v>
      </c>
      <c r="J429" s="29" t="s">
        <v>37</v>
      </c>
      <c r="K429" s="35">
        <v>0.42569444444444443</v>
      </c>
      <c r="L429" s="27" t="s">
        <v>232</v>
      </c>
      <c r="M429" s="35">
        <v>0.3298611111111111</v>
      </c>
      <c r="N429" s="36">
        <v>0.4201388888888889</v>
      </c>
      <c r="O429" s="36">
        <v>8.4722222222222227E-2</v>
      </c>
      <c r="P429" s="38">
        <v>41.2</v>
      </c>
      <c r="Q429" s="35">
        <v>0.10694444444444444</v>
      </c>
      <c r="R429" s="36"/>
      <c r="S429"/>
      <c r="T429"/>
      <c r="U429"/>
      <c r="V429"/>
      <c r="W429" s="29" t="s">
        <v>106</v>
      </c>
      <c r="X429"/>
    </row>
    <row r="430" spans="2:24">
      <c r="B430" s="183" t="s">
        <v>698</v>
      </c>
      <c r="D430" s="35">
        <v>0.46736111111111112</v>
      </c>
      <c r="E430" s="35">
        <v>0.46736111111111112</v>
      </c>
      <c r="F430" s="35">
        <v>0.59236111111111112</v>
      </c>
      <c r="G430" s="35">
        <v>0.59236111111111112</v>
      </c>
      <c r="H430" s="29" t="s">
        <v>37</v>
      </c>
      <c r="I430" s="36">
        <v>0.47430555555555554</v>
      </c>
      <c r="J430" s="29" t="s">
        <v>37</v>
      </c>
      <c r="K430" s="35">
        <v>0.5854166666666667</v>
      </c>
      <c r="L430" s="27" t="s">
        <v>232</v>
      </c>
      <c r="M430" s="35">
        <v>0.48125000000000001</v>
      </c>
      <c r="N430" s="36">
        <v>0.57986111111111116</v>
      </c>
      <c r="O430" s="36">
        <v>8.611111111111111E-2</v>
      </c>
      <c r="P430" s="38">
        <v>42</v>
      </c>
      <c r="Q430" s="35">
        <v>0.1111111111111111</v>
      </c>
      <c r="R430" s="36"/>
      <c r="S430"/>
      <c r="T430"/>
      <c r="U430"/>
      <c r="V430"/>
      <c r="W430" s="29" t="s">
        <v>106</v>
      </c>
      <c r="X430"/>
    </row>
    <row r="431" spans="2:24">
      <c r="B431" s="183" t="s">
        <v>684</v>
      </c>
      <c r="D431" s="35">
        <v>0.63055555555555554</v>
      </c>
      <c r="E431" s="35">
        <v>0.63055555555555554</v>
      </c>
      <c r="F431" s="35">
        <v>0.74513888888888891</v>
      </c>
      <c r="G431" s="35">
        <v>0.74513888888888891</v>
      </c>
      <c r="H431" s="29" t="s">
        <v>37</v>
      </c>
      <c r="I431" s="36">
        <v>0.63749999999999996</v>
      </c>
      <c r="J431" s="29" t="s">
        <v>37</v>
      </c>
      <c r="K431" s="35">
        <v>0.73819444444444449</v>
      </c>
      <c r="L431" s="27" t="s">
        <v>232</v>
      </c>
      <c r="M431" s="35">
        <v>0.64444444444444449</v>
      </c>
      <c r="N431" s="36">
        <v>0.73124999999999996</v>
      </c>
      <c r="O431" s="36">
        <v>8.611111111111111E-2</v>
      </c>
      <c r="P431" s="38">
        <v>42</v>
      </c>
      <c r="Q431" s="35">
        <v>0.10069444444444445</v>
      </c>
      <c r="R431" s="36"/>
      <c r="S431"/>
      <c r="T431"/>
      <c r="U431"/>
      <c r="V431"/>
      <c r="W431" s="29" t="s">
        <v>106</v>
      </c>
      <c r="X431"/>
    </row>
    <row r="432" spans="2:24">
      <c r="B432" s="183" t="s">
        <v>442</v>
      </c>
      <c r="C432" s="45"/>
      <c r="D432" s="30">
        <v>0.30833333333333335</v>
      </c>
      <c r="E432" s="30">
        <v>0.30833333333333335</v>
      </c>
      <c r="F432" s="35">
        <v>0.74513888888888891</v>
      </c>
      <c r="G432" s="35">
        <v>0.74513888888888891</v>
      </c>
      <c r="H432" s="29" t="s">
        <v>37</v>
      </c>
      <c r="I432" s="30">
        <v>0.31874999999999998</v>
      </c>
      <c r="J432" s="29" t="s">
        <v>37</v>
      </c>
      <c r="K432" s="30">
        <v>0.73819444444444449</v>
      </c>
      <c r="L432" s="27" t="s">
        <v>232</v>
      </c>
      <c r="M432" s="30">
        <v>0.3298611111111111</v>
      </c>
      <c r="N432" s="37">
        <v>0.73124999999999996</v>
      </c>
      <c r="O432" s="30">
        <v>0.25694444444444442</v>
      </c>
      <c r="P432" s="74">
        <v>126.1</v>
      </c>
      <c r="Q432" s="30">
        <v>0.33611111111111114</v>
      </c>
      <c r="R432" s="36"/>
      <c r="S432"/>
      <c r="T432"/>
      <c r="U432"/>
      <c r="V432"/>
      <c r="W432" s="29" t="s">
        <v>106</v>
      </c>
      <c r="X432"/>
    </row>
    <row r="433" spans="2:29">
      <c r="H433" s="29"/>
      <c r="J433" s="29"/>
      <c r="P433"/>
      <c r="Q433"/>
      <c r="R433" s="36"/>
      <c r="S433"/>
      <c r="T433"/>
      <c r="U433"/>
      <c r="V433"/>
      <c r="W433"/>
      <c r="X433"/>
    </row>
    <row r="434" spans="2:29">
      <c r="B434" s="132" t="s">
        <v>443</v>
      </c>
      <c r="D434" s="35">
        <v>0.22430555555555556</v>
      </c>
      <c r="E434" s="35">
        <v>0.22430555555555556</v>
      </c>
      <c r="F434" s="30" t="str">
        <f ca="1">IF($A$4="0平日","8:30","9:38")</f>
        <v>9:38</v>
      </c>
      <c r="G434" s="30" t="str">
        <f ca="1">IF($A$4="平日","8:30","9:38")</f>
        <v>9:38</v>
      </c>
      <c r="H434" s="29" t="s">
        <v>37</v>
      </c>
      <c r="I434" s="36">
        <v>0.23472222222222222</v>
      </c>
      <c r="J434" s="29" t="s">
        <v>37</v>
      </c>
      <c r="K434" s="30" t="str">
        <f ca="1">IF($A$4="平日","8:20","9:28")</f>
        <v>9:28</v>
      </c>
      <c r="L434" s="27" t="s">
        <v>232</v>
      </c>
      <c r="M434" s="35">
        <v>0.24166666666666667</v>
      </c>
      <c r="N434" s="30" t="str">
        <f ca="1">IF($A$4="平日","8:10","9:20")</f>
        <v>9:20</v>
      </c>
      <c r="O434" s="30" t="str">
        <f ca="1">IF($A$4="平日","1:49","1:52")</f>
        <v>1:52</v>
      </c>
      <c r="P434" s="38">
        <f ca="1">IF($A$4="平日",40,41.2)</f>
        <v>41.2</v>
      </c>
      <c r="Q434" s="30" t="str">
        <f ca="1">IF($A$4="平日","3:07","4:15")</f>
        <v>4:15</v>
      </c>
      <c r="R434" s="36"/>
      <c r="S434"/>
      <c r="T434"/>
      <c r="U434"/>
      <c r="V434"/>
      <c r="W434" s="29" t="s">
        <v>106</v>
      </c>
      <c r="X434"/>
    </row>
    <row r="435" spans="2:29">
      <c r="B435" s="132" t="s">
        <v>444</v>
      </c>
      <c r="D435" s="35">
        <v>0.27430555555555558</v>
      </c>
      <c r="E435" s="35">
        <v>0.27430555555555558</v>
      </c>
      <c r="F435" s="30">
        <v>0.40138888888888891</v>
      </c>
      <c r="G435" s="35">
        <v>0.40138888888888891</v>
      </c>
      <c r="H435" s="29" t="s">
        <v>37</v>
      </c>
      <c r="I435" s="36">
        <v>0.28472222222222221</v>
      </c>
      <c r="J435" s="29" t="s">
        <v>37</v>
      </c>
      <c r="K435" s="35">
        <v>0.3527777777777778</v>
      </c>
      <c r="L435" s="27" t="s">
        <v>232</v>
      </c>
      <c r="M435" s="35">
        <v>0.29166666666666669</v>
      </c>
      <c r="N435" s="36">
        <v>0.3888888888888889</v>
      </c>
      <c r="O435" s="36">
        <v>8.3333333333333329E-2</v>
      </c>
      <c r="P435" s="38">
        <v>42.3</v>
      </c>
      <c r="Q435" s="35">
        <v>0.12708333333333333</v>
      </c>
      <c r="R435" s="36"/>
      <c r="S435"/>
      <c r="T435"/>
      <c r="U435"/>
      <c r="V435"/>
      <c r="W435" s="29" t="s">
        <v>106</v>
      </c>
      <c r="X435"/>
    </row>
    <row r="436" spans="2:29">
      <c r="B436" s="132" t="s">
        <v>445</v>
      </c>
      <c r="D436" s="35">
        <v>0.27638888888888891</v>
      </c>
      <c r="E436" s="35">
        <v>0.27638888888888891</v>
      </c>
      <c r="F436" s="35">
        <v>0.40138888888888891</v>
      </c>
      <c r="G436" s="35">
        <v>0.40138888888888891</v>
      </c>
      <c r="H436" s="29" t="s">
        <v>37</v>
      </c>
      <c r="I436" s="36">
        <v>0.28680555555555554</v>
      </c>
      <c r="J436" s="29" t="s">
        <v>37</v>
      </c>
      <c r="K436" s="35">
        <v>0.39444444444444443</v>
      </c>
      <c r="L436" s="27" t="s">
        <v>232</v>
      </c>
      <c r="M436" s="35">
        <v>0.29375000000000001</v>
      </c>
      <c r="N436" s="36">
        <v>0.3888888888888889</v>
      </c>
      <c r="O436" s="36">
        <v>8.3333333333333329E-2</v>
      </c>
      <c r="P436" s="38">
        <v>42.3</v>
      </c>
      <c r="Q436" s="35">
        <v>0.125</v>
      </c>
      <c r="R436" s="36"/>
      <c r="S436"/>
      <c r="T436"/>
      <c r="U436"/>
      <c r="V436"/>
      <c r="W436" s="29" t="s">
        <v>106</v>
      </c>
      <c r="X436"/>
    </row>
    <row r="437" spans="2:29">
      <c r="B437" s="132" t="s">
        <v>446</v>
      </c>
      <c r="D437" s="35">
        <v>0.3125</v>
      </c>
      <c r="E437" s="35">
        <v>0.3125</v>
      </c>
      <c r="F437" s="35">
        <v>0.43958333333333333</v>
      </c>
      <c r="G437" s="35">
        <v>0.43958333333333333</v>
      </c>
      <c r="H437" s="29" t="s">
        <v>37</v>
      </c>
      <c r="I437" s="36">
        <v>0.32291666666666669</v>
      </c>
      <c r="J437" s="29" t="s">
        <v>37</v>
      </c>
      <c r="K437" s="35">
        <v>0.43263888888888891</v>
      </c>
      <c r="L437" s="15" t="s">
        <v>233</v>
      </c>
      <c r="M437" s="35">
        <v>0.3298611111111111</v>
      </c>
      <c r="N437" s="36">
        <v>0.42708333333333331</v>
      </c>
      <c r="O437" s="36">
        <v>8.4722222222222227E-2</v>
      </c>
      <c r="P437" s="38">
        <v>41.5</v>
      </c>
      <c r="Q437" s="35">
        <v>0.12708333333333333</v>
      </c>
      <c r="R437" s="36"/>
      <c r="S437"/>
      <c r="T437"/>
      <c r="U437"/>
      <c r="V437"/>
      <c r="W437" s="29" t="s">
        <v>106</v>
      </c>
      <c r="X437"/>
    </row>
    <row r="438" spans="2:29">
      <c r="B438" s="132" t="s">
        <v>447</v>
      </c>
      <c r="D438" s="35">
        <v>0.34166666666666667</v>
      </c>
      <c r="E438" s="35">
        <v>0.34166666666666667</v>
      </c>
      <c r="F438" s="35">
        <v>0.52986111111111112</v>
      </c>
      <c r="G438" s="35">
        <v>0.52986111111111112</v>
      </c>
      <c r="H438" s="29" t="s">
        <v>37</v>
      </c>
      <c r="I438" s="36">
        <v>0.35208333333333336</v>
      </c>
      <c r="J438" s="29" t="s">
        <v>37</v>
      </c>
      <c r="K438" s="35">
        <v>0.5229166666666667</v>
      </c>
      <c r="L438" s="27" t="s">
        <v>232</v>
      </c>
      <c r="M438" s="35">
        <v>0.36319444444444443</v>
      </c>
      <c r="N438" s="36">
        <v>0.51736111111111116</v>
      </c>
      <c r="O438" s="36">
        <v>8.4722222222222227E-2</v>
      </c>
      <c r="P438" s="38">
        <v>41.5</v>
      </c>
      <c r="Q438" s="35">
        <v>0.18819444444444444</v>
      </c>
      <c r="R438" s="36"/>
      <c r="S438"/>
      <c r="T438"/>
      <c r="U438"/>
      <c r="V438"/>
      <c r="W438" s="29" t="s">
        <v>106</v>
      </c>
      <c r="X438"/>
    </row>
    <row r="439" spans="2:29">
      <c r="B439" s="132" t="s">
        <v>448</v>
      </c>
      <c r="D439" s="35">
        <v>0.34375</v>
      </c>
      <c r="E439" s="35">
        <v>0.34375</v>
      </c>
      <c r="F439" s="35">
        <v>0.52986111111111112</v>
      </c>
      <c r="G439" s="35">
        <v>0.52986111111111112</v>
      </c>
      <c r="H439" s="29" t="s">
        <v>37</v>
      </c>
      <c r="I439" s="36">
        <v>0.35416666666666669</v>
      </c>
      <c r="J439" s="29" t="s">
        <v>37</v>
      </c>
      <c r="K439" s="35">
        <v>0.5229166666666667</v>
      </c>
      <c r="L439" s="27" t="s">
        <v>232</v>
      </c>
      <c r="M439" s="35">
        <v>0.3611111111111111</v>
      </c>
      <c r="N439" s="36">
        <v>0.51736111111111116</v>
      </c>
      <c r="O439" s="36">
        <v>8.6111111111111124E-2</v>
      </c>
      <c r="P439" s="38">
        <v>42.3</v>
      </c>
      <c r="Q439" s="35">
        <v>0.18611111111111112</v>
      </c>
      <c r="R439" s="36"/>
      <c r="S439"/>
      <c r="T439"/>
      <c r="U439"/>
      <c r="V439"/>
      <c r="W439" s="29" t="s">
        <v>106</v>
      </c>
      <c r="X439"/>
    </row>
    <row r="440" spans="2:29">
      <c r="B440" s="132" t="s">
        <v>449</v>
      </c>
      <c r="D440" s="35">
        <v>0.34583333333333333</v>
      </c>
      <c r="E440" s="35">
        <v>0.34583333333333333</v>
      </c>
      <c r="F440" s="35">
        <v>0.52986111111111112</v>
      </c>
      <c r="G440" s="35">
        <v>0.52986111111111112</v>
      </c>
      <c r="H440" s="29" t="s">
        <v>37</v>
      </c>
      <c r="I440" s="36">
        <v>0.35625000000000001</v>
      </c>
      <c r="J440" s="29" t="s">
        <v>37</v>
      </c>
      <c r="K440" s="35">
        <v>0.5229166666666667</v>
      </c>
      <c r="L440" s="27" t="s">
        <v>232</v>
      </c>
      <c r="M440" s="35">
        <v>0.36319444444444443</v>
      </c>
      <c r="N440" s="36">
        <v>0.51736111111111116</v>
      </c>
      <c r="O440" s="36">
        <v>8.611111111111111E-2</v>
      </c>
      <c r="P440" s="38">
        <v>42.3</v>
      </c>
      <c r="Q440" s="35">
        <v>0.18402777777777779</v>
      </c>
      <c r="R440" s="36"/>
      <c r="S440"/>
      <c r="T440"/>
      <c r="U440"/>
      <c r="V440"/>
      <c r="W440" s="29" t="s">
        <v>106</v>
      </c>
      <c r="X440"/>
    </row>
    <row r="441" spans="2:29">
      <c r="B441" s="132" t="s">
        <v>450</v>
      </c>
      <c r="D441" s="35">
        <v>0.39027777777777778</v>
      </c>
      <c r="E441" s="35">
        <v>0.39027777777777778</v>
      </c>
      <c r="F441" s="35">
        <v>0.60624999999999996</v>
      </c>
      <c r="G441" s="35">
        <v>0.60624999999999996</v>
      </c>
      <c r="H441" s="29" t="s">
        <v>37</v>
      </c>
      <c r="I441" s="36">
        <v>0.40069444444444446</v>
      </c>
      <c r="J441" s="29" t="s">
        <v>37</v>
      </c>
      <c r="K441" s="35">
        <v>0.59930555555555554</v>
      </c>
      <c r="L441" s="27" t="s">
        <v>232</v>
      </c>
      <c r="M441" s="35">
        <v>0.40625</v>
      </c>
      <c r="N441" s="36">
        <v>0.59375</v>
      </c>
      <c r="O441" s="36">
        <v>7.9166666666666663E-2</v>
      </c>
      <c r="P441" s="38">
        <v>40.799999999999997</v>
      </c>
      <c r="Q441" s="35">
        <v>0.21597222222222223</v>
      </c>
      <c r="R441" s="36"/>
      <c r="S441"/>
      <c r="T441"/>
      <c r="U441"/>
      <c r="V441"/>
      <c r="W441" s="29" t="s">
        <v>106</v>
      </c>
      <c r="X441"/>
    </row>
    <row r="442" spans="2:29">
      <c r="B442" s="132" t="s">
        <v>451</v>
      </c>
      <c r="D442" s="35">
        <v>0.3923611111111111</v>
      </c>
      <c r="E442" s="35">
        <v>0.3923611111111111</v>
      </c>
      <c r="F442" s="35">
        <f ca="1">VALUE(IF(OR($A$12="水",$A$12="金"),"14:33","14:13"))</f>
        <v>0.59236111111111112</v>
      </c>
      <c r="G442" s="35">
        <f ca="1">VALUE(IF(OR($A$12="水",$A$12="金"),"14:33","14:13"))</f>
        <v>0.59236111111111112</v>
      </c>
      <c r="H442" s="29" t="s">
        <v>37</v>
      </c>
      <c r="I442" s="36">
        <v>0.40277777777777779</v>
      </c>
      <c r="J442" s="29" t="s">
        <v>37</v>
      </c>
      <c r="K442" s="35">
        <f ca="1">VALUE(IF(OR($A$12="水",$A$12="金"),"14:23","14:03"))</f>
        <v>0.5854166666666667</v>
      </c>
      <c r="L442" s="27" t="s">
        <v>232</v>
      </c>
      <c r="M442" s="35">
        <v>0.40833333333333333</v>
      </c>
      <c r="N442" s="35">
        <f ca="1">VALUE(IF(OR($A$12="水",$A$12="金"),"14:15","13:55"))</f>
        <v>0.57986111111111116</v>
      </c>
      <c r="O442" s="36">
        <v>7.9166666666666663E-2</v>
      </c>
      <c r="P442" s="38">
        <v>40.799999999999997</v>
      </c>
      <c r="Q442" s="35">
        <f ca="1">VALUE(IF(OR($A$12="水",$A$12="金"),"5:08","4:48"))</f>
        <v>0.2</v>
      </c>
      <c r="R442" s="36"/>
      <c r="S442"/>
      <c r="T442"/>
      <c r="U442"/>
      <c r="V442"/>
      <c r="W442" s="29" t="s">
        <v>106</v>
      </c>
      <c r="X442"/>
    </row>
    <row r="443" spans="2:29">
      <c r="B443" s="132" t="s">
        <v>452</v>
      </c>
      <c r="D443" s="35">
        <v>0.39305555555555555</v>
      </c>
      <c r="E443" s="35">
        <v>0.39305555555555555</v>
      </c>
      <c r="F443" s="35">
        <v>0.5229166666666667</v>
      </c>
      <c r="G443" s="35">
        <v>0.5229166666666667</v>
      </c>
      <c r="H443" s="29" t="s">
        <v>685</v>
      </c>
      <c r="I443" s="36">
        <v>0.40347222222222223</v>
      </c>
      <c r="J443" s="29" t="s">
        <v>685</v>
      </c>
      <c r="K443" s="35">
        <v>0.51597222222222228</v>
      </c>
      <c r="L443" s="27" t="s">
        <v>686</v>
      </c>
      <c r="M443" s="35">
        <v>0.41041666666666665</v>
      </c>
      <c r="N443" s="36">
        <v>0.51041666666666663</v>
      </c>
      <c r="O443" s="36">
        <v>8.611111111111111E-2</v>
      </c>
      <c r="P443" s="38">
        <v>42.3</v>
      </c>
      <c r="Q443" s="35">
        <f>F443-D443</f>
        <v>0.12986111111111115</v>
      </c>
      <c r="R443" s="36"/>
      <c r="S443"/>
      <c r="T443"/>
      <c r="U443"/>
      <c r="V443"/>
      <c r="W443" s="29" t="s">
        <v>106</v>
      </c>
      <c r="X443"/>
    </row>
    <row r="444" spans="2:29">
      <c r="B444" s="132" t="s">
        <v>453</v>
      </c>
      <c r="D444" s="35">
        <v>0.46319444444444446</v>
      </c>
      <c r="E444" s="35">
        <v>0.46319444444444446</v>
      </c>
      <c r="F444" s="35">
        <v>0.70694444444444449</v>
      </c>
      <c r="G444" s="35">
        <v>0.70694444444444449</v>
      </c>
      <c r="H444" s="29" t="s">
        <v>37</v>
      </c>
      <c r="I444" s="36">
        <v>0.47361111111111109</v>
      </c>
      <c r="J444" s="29" t="s">
        <v>37</v>
      </c>
      <c r="K444" s="35">
        <v>0.7</v>
      </c>
      <c r="L444" s="27" t="s">
        <v>232</v>
      </c>
      <c r="M444" s="35">
        <v>0.47916666666666669</v>
      </c>
      <c r="N444" s="36">
        <v>0.69305555555555554</v>
      </c>
      <c r="O444" s="36">
        <v>7.9166666666666663E-2</v>
      </c>
      <c r="P444" s="38">
        <v>40.799999999999997</v>
      </c>
      <c r="Q444" s="35">
        <f t="shared" ref="Q444:Q453" si="3">F444-D444</f>
        <v>0.24375000000000002</v>
      </c>
      <c r="R444" s="36"/>
      <c r="S444"/>
      <c r="T444"/>
      <c r="U444"/>
      <c r="V444"/>
      <c r="W444" s="29" t="s">
        <v>106</v>
      </c>
      <c r="X444"/>
    </row>
    <row r="445" spans="2:29">
      <c r="B445" s="132" t="s">
        <v>454</v>
      </c>
      <c r="D445" s="35">
        <v>0.55347222222222225</v>
      </c>
      <c r="E445" s="35">
        <v>0.55347222222222225</v>
      </c>
      <c r="F445" s="35">
        <v>0.76249999999999996</v>
      </c>
      <c r="G445" s="35">
        <v>0.76249999999999996</v>
      </c>
      <c r="H445" s="29" t="s">
        <v>37</v>
      </c>
      <c r="I445" s="36">
        <v>0.56388888888888888</v>
      </c>
      <c r="J445" s="29" t="s">
        <v>37</v>
      </c>
      <c r="K445" s="35">
        <v>0.75555555555555554</v>
      </c>
      <c r="L445" s="27" t="s">
        <v>232</v>
      </c>
      <c r="M445" s="35">
        <v>0.56944444444444442</v>
      </c>
      <c r="N445" s="36">
        <v>0.74861111111111112</v>
      </c>
      <c r="O445" s="36">
        <v>7.9166666666666663E-2</v>
      </c>
      <c r="P445" s="38">
        <v>40.799999999999997</v>
      </c>
      <c r="Q445" s="35">
        <f t="shared" si="3"/>
        <v>0.2090277777777777</v>
      </c>
      <c r="R445" s="36"/>
      <c r="S445"/>
      <c r="T445"/>
      <c r="U445"/>
      <c r="V445"/>
      <c r="W445" s="29" t="s">
        <v>106</v>
      </c>
      <c r="X445"/>
    </row>
    <row r="446" spans="2:29">
      <c r="B446" s="132" t="s">
        <v>455</v>
      </c>
      <c r="D446" s="35">
        <v>0.55000000000000004</v>
      </c>
      <c r="E446" s="35">
        <v>0.55000000000000004</v>
      </c>
      <c r="F446" s="35">
        <v>0.76249999999999996</v>
      </c>
      <c r="G446" s="35">
        <v>0.76249999999999996</v>
      </c>
      <c r="H446" s="29" t="s">
        <v>37</v>
      </c>
      <c r="I446" s="36">
        <v>0.56041666666666667</v>
      </c>
      <c r="J446" s="29" t="s">
        <v>37</v>
      </c>
      <c r="K446" s="35">
        <v>0.75555555555555554</v>
      </c>
      <c r="L446" s="27" t="s">
        <v>232</v>
      </c>
      <c r="M446" s="35">
        <v>0.56736111111111109</v>
      </c>
      <c r="N446" s="36">
        <v>0.74861111111111112</v>
      </c>
      <c r="O446" s="36">
        <v>8.4722222222222227E-2</v>
      </c>
      <c r="P446" s="38">
        <v>41.5</v>
      </c>
      <c r="Q446" s="35">
        <f t="shared" si="3"/>
        <v>0.21249999999999991</v>
      </c>
      <c r="R446" s="36"/>
      <c r="S446"/>
      <c r="T446"/>
      <c r="U446"/>
      <c r="V446"/>
      <c r="W446" s="29" t="s">
        <v>106</v>
      </c>
      <c r="X446"/>
    </row>
    <row r="447" spans="2:29">
      <c r="B447" s="132" t="s">
        <v>456</v>
      </c>
      <c r="D447" s="35">
        <v>0.55208333333333337</v>
      </c>
      <c r="E447" s="35">
        <v>0.55208333333333337</v>
      </c>
      <c r="F447" s="35">
        <v>0.66874999999999996</v>
      </c>
      <c r="G447" s="35">
        <v>0.66874999999999996</v>
      </c>
      <c r="H447" s="29" t="s">
        <v>37</v>
      </c>
      <c r="I447" s="36">
        <v>0.5625</v>
      </c>
      <c r="J447" s="29" t="s">
        <v>37</v>
      </c>
      <c r="K447" s="35">
        <v>0.66180555555555554</v>
      </c>
      <c r="L447" s="27" t="s">
        <v>232</v>
      </c>
      <c r="M447" s="35">
        <v>0.56944444444444442</v>
      </c>
      <c r="N447" s="36">
        <v>0.65625</v>
      </c>
      <c r="O447" s="36">
        <v>8.4722222222222227E-2</v>
      </c>
      <c r="P447" s="38">
        <v>41.5</v>
      </c>
      <c r="Q447" s="35">
        <f t="shared" si="3"/>
        <v>0.11666666666666659</v>
      </c>
      <c r="R447" s="36"/>
      <c r="S447"/>
      <c r="T447"/>
      <c r="U447"/>
      <c r="V447"/>
      <c r="W447" s="29" t="s">
        <v>106</v>
      </c>
      <c r="X447" s="36"/>
      <c r="Y447" s="36"/>
      <c r="Z447" s="36"/>
      <c r="AA447" s="36"/>
      <c r="AC447" s="36"/>
    </row>
    <row r="448" spans="2:29">
      <c r="B448" s="132" t="s">
        <v>457</v>
      </c>
      <c r="D448" s="35">
        <v>0.59375</v>
      </c>
      <c r="E448" s="35">
        <v>0.59375</v>
      </c>
      <c r="F448" s="35">
        <v>0.7104166666666667</v>
      </c>
      <c r="G448" s="35">
        <v>0.7104166666666667</v>
      </c>
      <c r="H448" s="29" t="s">
        <v>37</v>
      </c>
      <c r="I448" s="36">
        <v>0.60416666666666663</v>
      </c>
      <c r="J448" s="29" t="s">
        <v>37</v>
      </c>
      <c r="K448" s="35">
        <v>0.70347222222222228</v>
      </c>
      <c r="L448" s="27" t="s">
        <v>232</v>
      </c>
      <c r="M448" s="35">
        <v>0.61111111111111116</v>
      </c>
      <c r="N448" s="36">
        <v>0.69652777777777775</v>
      </c>
      <c r="O448" s="36">
        <v>8.4722222222222227E-2</v>
      </c>
      <c r="P448" s="38">
        <v>41.5</v>
      </c>
      <c r="Q448" s="35">
        <f t="shared" si="3"/>
        <v>0.1166666666666667</v>
      </c>
      <c r="R448" s="36"/>
      <c r="S448"/>
      <c r="T448"/>
      <c r="U448"/>
      <c r="V448"/>
      <c r="W448" s="29" t="s">
        <v>106</v>
      </c>
      <c r="X448" s="36"/>
      <c r="Y448" s="36"/>
      <c r="Z448" s="36"/>
      <c r="AA448" s="36"/>
      <c r="AC448" s="36"/>
    </row>
    <row r="449" spans="2:29">
      <c r="B449" s="132" t="s">
        <v>458</v>
      </c>
      <c r="D449" s="35">
        <v>0.59583333333333333</v>
      </c>
      <c r="E449" s="35">
        <v>0.59583333333333333</v>
      </c>
      <c r="F449" s="35">
        <v>0.7104166666666667</v>
      </c>
      <c r="G449" s="35">
        <v>0.7104166666666667</v>
      </c>
      <c r="H449" s="29" t="s">
        <v>37</v>
      </c>
      <c r="I449" s="36">
        <v>0.60624999999999996</v>
      </c>
      <c r="J449" s="29" t="s">
        <v>37</v>
      </c>
      <c r="K449" s="35">
        <v>0.70347222222222228</v>
      </c>
      <c r="L449" s="27" t="s">
        <v>232</v>
      </c>
      <c r="M449" s="35">
        <v>0.61319444444444449</v>
      </c>
      <c r="N449" s="36">
        <v>0.69652777777777775</v>
      </c>
      <c r="O449" s="36">
        <v>8.4722222222222227E-2</v>
      </c>
      <c r="P449" s="38">
        <v>41.5</v>
      </c>
      <c r="Q449" s="35">
        <f t="shared" si="3"/>
        <v>0.11458333333333337</v>
      </c>
      <c r="R449" s="36"/>
      <c r="S449"/>
      <c r="T449"/>
      <c r="U449"/>
      <c r="V449"/>
      <c r="W449" s="29" t="s">
        <v>106</v>
      </c>
      <c r="X449" s="36"/>
      <c r="Y449" s="36"/>
      <c r="Z449" s="36"/>
      <c r="AA449" s="36"/>
      <c r="AC449" s="36"/>
    </row>
    <row r="450" spans="2:29">
      <c r="B450" s="132" t="s">
        <v>459</v>
      </c>
      <c r="D450" s="30">
        <v>0.62638888888888888</v>
      </c>
      <c r="E450" s="30">
        <v>0.62638888888888888</v>
      </c>
      <c r="F450" s="30">
        <v>0.84583333333333333</v>
      </c>
      <c r="G450" s="30">
        <v>0.84583333333333333</v>
      </c>
      <c r="H450" s="29" t="s">
        <v>37</v>
      </c>
      <c r="I450" s="30">
        <v>0.63680555555555551</v>
      </c>
      <c r="J450" s="29" t="s">
        <v>37</v>
      </c>
      <c r="K450" s="35">
        <v>0.83888888888888891</v>
      </c>
      <c r="L450" s="27" t="s">
        <v>232</v>
      </c>
      <c r="M450" s="30">
        <v>0.64236111111111116</v>
      </c>
      <c r="N450" s="36">
        <v>0.83194444444444449</v>
      </c>
      <c r="O450" s="30">
        <v>7.9166666666666663E-2</v>
      </c>
      <c r="P450" s="38">
        <v>40.799999999999997</v>
      </c>
      <c r="Q450" s="35">
        <f t="shared" si="3"/>
        <v>0.21944444444444444</v>
      </c>
      <c r="R450" s="36"/>
      <c r="S450"/>
      <c r="T450"/>
      <c r="U450"/>
      <c r="V450"/>
      <c r="W450" s="29" t="s">
        <v>106</v>
      </c>
      <c r="X450" s="36"/>
      <c r="Y450" s="36"/>
      <c r="Z450" s="36"/>
      <c r="AA450" s="36"/>
      <c r="AC450" s="36"/>
    </row>
    <row r="451" spans="2:29">
      <c r="B451" s="132" t="s">
        <v>460</v>
      </c>
      <c r="D451" s="30">
        <v>0.72291666666666665</v>
      </c>
      <c r="E451" s="30">
        <v>0.72291666666666665</v>
      </c>
      <c r="F451" s="30">
        <v>0.88888888888888884</v>
      </c>
      <c r="G451" s="30">
        <v>0.88888888888888884</v>
      </c>
      <c r="H451" s="29" t="s">
        <v>37</v>
      </c>
      <c r="I451" s="30">
        <v>0.73333333333333328</v>
      </c>
      <c r="J451" s="29" t="s">
        <v>37</v>
      </c>
      <c r="K451" s="35">
        <v>0.88194444444444442</v>
      </c>
      <c r="L451" s="27" t="s">
        <v>232</v>
      </c>
      <c r="M451" s="30">
        <v>0.74027777777777781</v>
      </c>
      <c r="N451" s="36">
        <v>0.875</v>
      </c>
      <c r="O451" s="36">
        <v>9.0972222222222218E-2</v>
      </c>
      <c r="P451" s="38">
        <v>41.9</v>
      </c>
      <c r="Q451" s="35">
        <f t="shared" si="3"/>
        <v>0.16597222222222219</v>
      </c>
      <c r="R451" s="36"/>
      <c r="S451"/>
      <c r="T451"/>
      <c r="U451"/>
      <c r="V451"/>
      <c r="W451" s="29" t="s">
        <v>106</v>
      </c>
      <c r="X451" s="36"/>
      <c r="Y451" s="36"/>
      <c r="Z451" s="36"/>
      <c r="AA451" s="36"/>
      <c r="AC451" s="36"/>
    </row>
    <row r="452" spans="2:29">
      <c r="B452" s="132" t="s">
        <v>508</v>
      </c>
      <c r="D452" s="30">
        <v>0.74652777777777779</v>
      </c>
      <c r="E452" s="30">
        <v>0.74652777777777779</v>
      </c>
      <c r="F452" s="30">
        <v>0.88888888888888884</v>
      </c>
      <c r="G452" s="30">
        <v>0.88888888888888884</v>
      </c>
      <c r="H452" s="29" t="s">
        <v>37</v>
      </c>
      <c r="I452" s="30">
        <v>0.75694444444444442</v>
      </c>
      <c r="J452" s="29" t="s">
        <v>37</v>
      </c>
      <c r="K452" s="35">
        <v>0.88194444444444442</v>
      </c>
      <c r="L452" s="27" t="s">
        <v>232</v>
      </c>
      <c r="M452" s="30">
        <v>0.76388888888888884</v>
      </c>
      <c r="N452" s="36">
        <v>0.875</v>
      </c>
      <c r="O452" s="36">
        <v>8.7499999999999994E-2</v>
      </c>
      <c r="P452" s="38">
        <v>41.1</v>
      </c>
      <c r="Q452" s="35">
        <f t="shared" si="3"/>
        <v>0.14236111111111105</v>
      </c>
      <c r="R452" s="36"/>
      <c r="S452"/>
      <c r="T452"/>
      <c r="U452"/>
      <c r="V452"/>
      <c r="W452" s="29" t="s">
        <v>106</v>
      </c>
      <c r="X452" s="36"/>
      <c r="Y452" s="36"/>
      <c r="Z452" s="36"/>
      <c r="AA452" s="36"/>
      <c r="AC452" s="36"/>
    </row>
    <row r="453" spans="2:29">
      <c r="B453" s="132" t="s">
        <v>525</v>
      </c>
      <c r="C453" s="132"/>
      <c r="D453" s="30">
        <v>0.78819444444444442</v>
      </c>
      <c r="E453" s="30">
        <v>0.78819444444444442</v>
      </c>
      <c r="F453" s="30">
        <v>0.88888888888888884</v>
      </c>
      <c r="G453" s="30">
        <v>0.88888888888888884</v>
      </c>
      <c r="H453" s="29" t="s">
        <v>37</v>
      </c>
      <c r="I453" s="30">
        <v>0.79861111111111116</v>
      </c>
      <c r="J453" s="29" t="s">
        <v>37</v>
      </c>
      <c r="K453" s="35">
        <v>0.88194444444444442</v>
      </c>
      <c r="L453" s="27" t="s">
        <v>232</v>
      </c>
      <c r="M453" s="30">
        <v>0.79861111111111116</v>
      </c>
      <c r="N453" s="36">
        <v>0.875</v>
      </c>
      <c r="O453" s="36">
        <v>7.1527777777777773E-2</v>
      </c>
      <c r="P453" s="38">
        <v>39.1</v>
      </c>
      <c r="Q453" s="35">
        <f t="shared" si="3"/>
        <v>0.10069444444444442</v>
      </c>
      <c r="R453" s="36"/>
      <c r="S453"/>
      <c r="T453"/>
      <c r="U453"/>
      <c r="V453"/>
      <c r="W453" s="29" t="s">
        <v>106</v>
      </c>
      <c r="X453" s="36"/>
      <c r="Y453" s="36"/>
      <c r="Z453" s="36"/>
      <c r="AA453" s="36"/>
      <c r="AC453" s="36"/>
    </row>
    <row r="454" spans="2:29">
      <c r="B454" s="132" t="s">
        <v>687</v>
      </c>
      <c r="C454" s="132"/>
      <c r="D454" s="30" t="str">
        <f ca="1">IF($A$4="平日","17:45","20:15")</f>
        <v>20:15</v>
      </c>
      <c r="E454" s="30" t="str">
        <f ca="1">IF($A$4="平日","17:45","20:15")</f>
        <v>20:15</v>
      </c>
      <c r="F454" s="30">
        <v>0.94444444444444442</v>
      </c>
      <c r="G454" s="30">
        <v>0.94444444444444442</v>
      </c>
      <c r="H454" s="29" t="s">
        <v>37</v>
      </c>
      <c r="I454" s="30" t="str">
        <f ca="1">IF($A$4="平日","18:00","20:30")</f>
        <v>20:30</v>
      </c>
      <c r="J454" s="29" t="s">
        <v>37</v>
      </c>
      <c r="K454" s="35">
        <v>0.9375</v>
      </c>
      <c r="L454" s="27" t="s">
        <v>232</v>
      </c>
      <c r="M454" s="30" t="str">
        <f ca="1">IF($A$4="平日","18:10","20:30")</f>
        <v>20:30</v>
      </c>
      <c r="N454" s="36">
        <v>0.9375</v>
      </c>
      <c r="O454" s="30" t="str">
        <f ca="1">IF($A$4="平日","2:03","1:43")</f>
        <v>1:43</v>
      </c>
      <c r="P454" s="38">
        <f ca="1">IF($A$4="平日",40.8,39.1)</f>
        <v>39.1</v>
      </c>
      <c r="Q454" s="30" t="str">
        <f ca="1">IF($A$4="平日","4:55","2:25")</f>
        <v>2:25</v>
      </c>
      <c r="R454" s="36"/>
      <c r="S454"/>
      <c r="T454"/>
      <c r="U454"/>
      <c r="V454"/>
      <c r="W454" s="29" t="s">
        <v>106</v>
      </c>
      <c r="X454" s="36"/>
      <c r="Y454" s="36"/>
      <c r="Z454" s="36"/>
      <c r="AA454" s="36"/>
      <c r="AC454" s="36"/>
    </row>
    <row r="455" spans="2:29">
      <c r="L455" s="27" t="s">
        <v>232</v>
      </c>
      <c r="P455"/>
      <c r="Q455"/>
      <c r="R455" s="36" t="str">
        <f>IF(F455-$R$67&gt;0,F455-$R$67,"")</f>
        <v/>
      </c>
      <c r="S455"/>
      <c r="T455"/>
      <c r="U455"/>
      <c r="V455"/>
      <c r="W455"/>
      <c r="X455" t="s">
        <v>242</v>
      </c>
      <c r="Y455" t="s">
        <v>243</v>
      </c>
      <c r="Z455" t="s">
        <v>241</v>
      </c>
      <c r="AA455" t="s">
        <v>39</v>
      </c>
      <c r="AB455" s="26" t="s">
        <v>462</v>
      </c>
      <c r="AC455" t="s">
        <v>251</v>
      </c>
    </row>
    <row r="456" spans="2:29">
      <c r="B456" t="s">
        <v>506</v>
      </c>
      <c r="D456" s="36">
        <f t="shared" ref="D456:D461" si="4">M456-$X456</f>
        <v>0.42708333333333337</v>
      </c>
      <c r="E456" s="36">
        <f t="shared" ref="E456:E461" si="5">M456-$X456</f>
        <v>0.42708333333333337</v>
      </c>
      <c r="F456" s="35">
        <f t="shared" ref="F456:F461" si="6">N456+Y456</f>
        <v>0.52986111111111112</v>
      </c>
      <c r="G456" s="35">
        <f t="shared" ref="G456:G461" si="7">N456+Y456</f>
        <v>0.52986111111111112</v>
      </c>
      <c r="H456" s="29" t="s">
        <v>37</v>
      </c>
      <c r="I456" s="36">
        <f t="shared" ref="I456:I461" si="8">D456+Z456</f>
        <v>0.43750000000000006</v>
      </c>
      <c r="J456" s="29" t="s">
        <v>37</v>
      </c>
      <c r="K456" s="35">
        <f t="shared" ref="K456:K461" si="9">N456+AA456</f>
        <v>0.5229166666666667</v>
      </c>
      <c r="L456" s="27" t="s">
        <v>232</v>
      </c>
      <c r="M456" s="35">
        <v>0.47916666666666669</v>
      </c>
      <c r="N456" s="36">
        <v>0.51597222222222228</v>
      </c>
      <c r="O456" s="36">
        <f t="shared" ref="O456:O461" si="10">N456-M456+AC456</f>
        <v>7.1527777777777815E-2</v>
      </c>
      <c r="P456">
        <v>39.299999999999997</v>
      </c>
      <c r="Q456" s="35">
        <f t="shared" ref="Q456:Q461" si="11">F456-D456</f>
        <v>0.10277777777777775</v>
      </c>
      <c r="R456" s="36"/>
      <c r="S456"/>
      <c r="T456"/>
      <c r="U456"/>
      <c r="V456"/>
      <c r="W456" s="29" t="s">
        <v>188</v>
      </c>
      <c r="X456" s="36">
        <v>5.2083333333333336E-2</v>
      </c>
      <c r="Y456" s="36">
        <v>1.3888888888888888E-2</v>
      </c>
      <c r="Z456" s="36">
        <v>1.0416666666666666E-2</v>
      </c>
      <c r="AA456" s="36">
        <v>6.9444444444444441E-3</v>
      </c>
      <c r="AB456" s="36">
        <v>3.6805555555555557E-2</v>
      </c>
      <c r="AC456" s="36">
        <v>3.4722222222222224E-2</v>
      </c>
    </row>
    <row r="457" spans="2:29">
      <c r="B457" t="s">
        <v>463</v>
      </c>
      <c r="D457" s="36">
        <f t="shared" si="4"/>
        <v>0.48958333333333331</v>
      </c>
      <c r="E457" s="36">
        <f t="shared" si="5"/>
        <v>0.48958333333333331</v>
      </c>
      <c r="F457" s="35">
        <f t="shared" si="6"/>
        <v>0.59236111111111112</v>
      </c>
      <c r="G457" s="35">
        <f t="shared" si="7"/>
        <v>0.59236111111111112</v>
      </c>
      <c r="H457" s="29" t="s">
        <v>37</v>
      </c>
      <c r="I457" s="36">
        <f t="shared" si="8"/>
        <v>0.5</v>
      </c>
      <c r="J457" s="29" t="s">
        <v>37</v>
      </c>
      <c r="K457" s="35">
        <f t="shared" si="9"/>
        <v>0.5854166666666667</v>
      </c>
      <c r="L457" s="27" t="s">
        <v>232</v>
      </c>
      <c r="M457" s="35">
        <v>0.54166666666666663</v>
      </c>
      <c r="N457" s="36">
        <v>0.57847222222222228</v>
      </c>
      <c r="O457" s="36">
        <f t="shared" si="10"/>
        <v>7.1527777777777871E-2</v>
      </c>
      <c r="P457">
        <v>39.299999999999997</v>
      </c>
      <c r="Q457" s="35">
        <f t="shared" si="11"/>
        <v>0.1027777777777778</v>
      </c>
      <c r="R457" s="36"/>
      <c r="S457"/>
      <c r="T457"/>
      <c r="U457"/>
      <c r="V457"/>
      <c r="W457" s="29" t="s">
        <v>188</v>
      </c>
      <c r="X457" s="36">
        <v>5.2083333333333336E-2</v>
      </c>
      <c r="Y457" s="36">
        <v>1.3888888888888888E-2</v>
      </c>
      <c r="Z457" s="36">
        <v>1.0416666666666666E-2</v>
      </c>
      <c r="AA457" s="36">
        <v>6.9444444444444441E-3</v>
      </c>
      <c r="AB457" s="36">
        <v>3.6805555555555557E-2</v>
      </c>
      <c r="AC457" s="36">
        <v>3.4722222222222224E-2</v>
      </c>
    </row>
    <row r="458" spans="2:29">
      <c r="B458" t="s">
        <v>502</v>
      </c>
      <c r="D458" s="36">
        <f t="shared" si="4"/>
        <v>0.60416666666666663</v>
      </c>
      <c r="E458" s="36">
        <f t="shared" si="5"/>
        <v>0.60416666666666663</v>
      </c>
      <c r="F458" s="35">
        <f t="shared" si="6"/>
        <v>0.70694444444444438</v>
      </c>
      <c r="G458" s="35">
        <f t="shared" si="7"/>
        <v>0.70694444444444438</v>
      </c>
      <c r="H458" s="29" t="s">
        <v>37</v>
      </c>
      <c r="I458" s="36">
        <f t="shared" si="8"/>
        <v>0.61458333333333326</v>
      </c>
      <c r="J458" s="29" t="s">
        <v>37</v>
      </c>
      <c r="K458" s="35">
        <f t="shared" si="9"/>
        <v>0.7</v>
      </c>
      <c r="L458" s="27" t="s">
        <v>232</v>
      </c>
      <c r="M458" s="35">
        <v>0.65625</v>
      </c>
      <c r="N458" s="36">
        <v>0.69305555555555554</v>
      </c>
      <c r="O458" s="36">
        <f t="shared" si="10"/>
        <v>7.152777777777776E-2</v>
      </c>
      <c r="P458">
        <v>39.299999999999997</v>
      </c>
      <c r="Q458" s="35">
        <f t="shared" si="11"/>
        <v>0.10277777777777775</v>
      </c>
      <c r="R458" s="36"/>
      <c r="S458"/>
      <c r="T458"/>
      <c r="U458"/>
      <c r="V458"/>
      <c r="W458" s="29" t="s">
        <v>188</v>
      </c>
      <c r="X458" s="36">
        <v>5.2083333333333336E-2</v>
      </c>
      <c r="Y458" s="36">
        <v>1.3888888888888888E-2</v>
      </c>
      <c r="Z458" s="36">
        <v>1.0416666666666666E-2</v>
      </c>
      <c r="AA458" s="36">
        <v>6.9444444444444441E-3</v>
      </c>
      <c r="AB458" s="36">
        <v>3.6805555555555557E-2</v>
      </c>
      <c r="AC458" s="36">
        <v>3.4722222222222224E-2</v>
      </c>
    </row>
    <row r="459" spans="2:29">
      <c r="B459" t="s">
        <v>507</v>
      </c>
      <c r="D459" s="36">
        <f t="shared" si="4"/>
        <v>0.65972222222222221</v>
      </c>
      <c r="E459" s="36">
        <f t="shared" si="5"/>
        <v>0.65972222222222221</v>
      </c>
      <c r="F459" s="35">
        <f t="shared" si="6"/>
        <v>0.76249999999999996</v>
      </c>
      <c r="G459" s="35">
        <f t="shared" si="7"/>
        <v>0.76249999999999996</v>
      </c>
      <c r="H459" s="29" t="s">
        <v>37</v>
      </c>
      <c r="I459" s="36">
        <f t="shared" si="8"/>
        <v>0.67013888888888884</v>
      </c>
      <c r="J459" s="29" t="s">
        <v>37</v>
      </c>
      <c r="K459" s="35">
        <f t="shared" si="9"/>
        <v>0.75555555555555554</v>
      </c>
      <c r="L459" s="27" t="s">
        <v>232</v>
      </c>
      <c r="M459" s="35">
        <v>0.71180555555555558</v>
      </c>
      <c r="N459" s="36">
        <v>0.74861111111111112</v>
      </c>
      <c r="O459" s="36">
        <f t="shared" si="10"/>
        <v>7.152777777777776E-2</v>
      </c>
      <c r="P459">
        <v>39.299999999999997</v>
      </c>
      <c r="Q459" s="35">
        <f t="shared" si="11"/>
        <v>0.10277777777777775</v>
      </c>
      <c r="R459" s="36"/>
      <c r="S459"/>
      <c r="T459"/>
      <c r="U459"/>
      <c r="V459"/>
      <c r="W459" s="29" t="s">
        <v>188</v>
      </c>
      <c r="X459" s="36">
        <v>5.2083333333333336E-2</v>
      </c>
      <c r="Y459" s="36">
        <v>1.3888888888888888E-2</v>
      </c>
      <c r="Z459" s="36">
        <v>1.0416666666666666E-2</v>
      </c>
      <c r="AA459" s="36">
        <v>6.9444444444444441E-3</v>
      </c>
      <c r="AB459" s="36">
        <v>3.6805555555555557E-2</v>
      </c>
      <c r="AC459" s="36">
        <v>3.4722222222222224E-2</v>
      </c>
    </row>
    <row r="460" spans="2:29">
      <c r="B460" t="s">
        <v>503</v>
      </c>
      <c r="D460" s="36">
        <f t="shared" si="4"/>
        <v>0.74305555555555547</v>
      </c>
      <c r="E460" s="36">
        <f t="shared" si="5"/>
        <v>0.74305555555555547</v>
      </c>
      <c r="F460" s="35">
        <f t="shared" si="6"/>
        <v>0.84583333333333333</v>
      </c>
      <c r="G460" s="35">
        <f t="shared" si="7"/>
        <v>0.84583333333333333</v>
      </c>
      <c r="H460" s="29" t="s">
        <v>37</v>
      </c>
      <c r="I460" s="36">
        <f t="shared" si="8"/>
        <v>0.7534722222222221</v>
      </c>
      <c r="J460" s="29" t="s">
        <v>37</v>
      </c>
      <c r="K460" s="35">
        <f t="shared" si="9"/>
        <v>0.83888888888888891</v>
      </c>
      <c r="L460" s="27" t="s">
        <v>232</v>
      </c>
      <c r="M460" s="35">
        <v>0.79513888888888884</v>
      </c>
      <c r="N460" s="36">
        <v>0.83194444444444449</v>
      </c>
      <c r="O460" s="36">
        <f t="shared" si="10"/>
        <v>7.1527777777777871E-2</v>
      </c>
      <c r="P460">
        <v>39.299999999999997</v>
      </c>
      <c r="Q460" s="35">
        <f t="shared" si="11"/>
        <v>0.10277777777777786</v>
      </c>
      <c r="R460" s="36"/>
      <c r="S460"/>
      <c r="T460"/>
      <c r="U460"/>
      <c r="V460"/>
      <c r="W460" s="29" t="s">
        <v>188</v>
      </c>
      <c r="X460" s="36">
        <v>5.2083333333333336E-2</v>
      </c>
      <c r="Y460" s="36">
        <v>1.3888888888888888E-2</v>
      </c>
      <c r="Z460" s="36">
        <v>1.0416666666666666E-2</v>
      </c>
      <c r="AA460" s="36">
        <v>6.9444444444444441E-3</v>
      </c>
      <c r="AB460" s="36">
        <v>3.6805555555555557E-2</v>
      </c>
      <c r="AC460" s="36">
        <v>3.4722222222222224E-2</v>
      </c>
    </row>
    <row r="461" spans="2:29">
      <c r="B461" t="s">
        <v>504</v>
      </c>
      <c r="D461" s="36">
        <f t="shared" si="4"/>
        <v>0.84375</v>
      </c>
      <c r="E461" s="36">
        <f t="shared" si="5"/>
        <v>0.84375</v>
      </c>
      <c r="F461" s="35">
        <f t="shared" si="6"/>
        <v>0.94444444444444442</v>
      </c>
      <c r="G461" s="35">
        <f t="shared" si="7"/>
        <v>0.94444444444444442</v>
      </c>
      <c r="H461" s="29" t="s">
        <v>37</v>
      </c>
      <c r="I461" s="36">
        <f t="shared" si="8"/>
        <v>0.85416666666666663</v>
      </c>
      <c r="J461" s="29" t="s">
        <v>37</v>
      </c>
      <c r="K461" s="35">
        <f t="shared" si="9"/>
        <v>0.9375</v>
      </c>
      <c r="L461" s="27" t="s">
        <v>232</v>
      </c>
      <c r="M461" s="35">
        <v>0.89583333333333337</v>
      </c>
      <c r="N461" s="36">
        <v>0.93055555555555558</v>
      </c>
      <c r="O461" s="36">
        <f t="shared" si="10"/>
        <v>6.9444444444444434E-2</v>
      </c>
      <c r="P461">
        <v>39.1</v>
      </c>
      <c r="Q461" s="35">
        <f t="shared" si="11"/>
        <v>0.10069444444444442</v>
      </c>
      <c r="R461" s="36"/>
      <c r="S461"/>
      <c r="T461"/>
      <c r="U461"/>
      <c r="V461"/>
      <c r="W461" s="29" t="s">
        <v>188</v>
      </c>
      <c r="X461" s="36">
        <v>5.2083333333333336E-2</v>
      </c>
      <c r="Y461" s="36">
        <v>1.3888888888888888E-2</v>
      </c>
      <c r="Z461" s="36">
        <v>1.0416666666666666E-2</v>
      </c>
      <c r="AA461" s="36">
        <v>6.9444444444444441E-3</v>
      </c>
      <c r="AB461" s="36">
        <v>3.6805555555555557E-2</v>
      </c>
      <c r="AC461" s="36">
        <v>3.4722222222222224E-2</v>
      </c>
    </row>
    <row r="462" spans="2:29">
      <c r="B462" s="132" t="s">
        <v>469</v>
      </c>
      <c r="D462" s="36" t="e">
        <f t="shared" ref="D462:D463" ca="1" si="12">M462-$X462</f>
        <v>#NAME?</v>
      </c>
      <c r="E462" s="36" t="e">
        <f t="shared" ref="E462:E463" ca="1" si="13">M462-$X462</f>
        <v>#NAME?</v>
      </c>
      <c r="F462" s="35" t="e">
        <f t="shared" ref="F462:F463" ca="1" si="14">N462+Y462</f>
        <v>#NAME?</v>
      </c>
      <c r="G462" s="35" t="e">
        <f t="shared" ref="G462:G463" ca="1" si="15">N462+Y462</f>
        <v>#NAME?</v>
      </c>
      <c r="H462" s="29" t="s">
        <v>37</v>
      </c>
      <c r="I462" s="36" t="e">
        <f t="shared" ref="I462:I463" ca="1" si="16">D462+Z462</f>
        <v>#NAME?</v>
      </c>
      <c r="J462" s="29" t="s">
        <v>37</v>
      </c>
      <c r="K462" s="36" t="e">
        <f t="shared" ref="K462:K463" ca="1" si="17">N462+AA462</f>
        <v>#NAME?</v>
      </c>
      <c r="L462" s="15" t="s">
        <v>254</v>
      </c>
      <c r="M462" s="35" t="e">
        <f ca="1">IF(印刷プレビュー!X13="空港 発 [リスト外1]             ",印刷プレビュー!Z13,IF(印刷プレビュー!X24="空港 発 [リスト外1]             ",印刷プレビュー!Z24,IF(印刷プレビュー!X35="空港 発 [リスト外1]             ",印刷プレビュー!Z35,IF(印刷プレビュー!X43="空港 発 [リスト外1]             ",印刷プレビュー!Z43,IFVALUE("0:00")))))</f>
        <v>#NAME?</v>
      </c>
      <c r="N462" s="36" t="e">
        <f ca="1">M462+AB462</f>
        <v>#NAME?</v>
      </c>
      <c r="O462" s="36" t="e">
        <f t="shared" ref="O462:O463" ca="1" si="18">N462-M462+AC462</f>
        <v>#NAME?</v>
      </c>
      <c r="P462" t="e">
        <f ca="1">IF($M$462&gt;$R$462,39.1,39.3)</f>
        <v>#NAME?</v>
      </c>
      <c r="Q462" s="35" t="e">
        <f t="shared" ref="Q462:Q463" ca="1" si="19">F462-D462</f>
        <v>#NAME?</v>
      </c>
      <c r="R462" s="36">
        <v>0.82916666666666672</v>
      </c>
      <c r="S462"/>
      <c r="T462"/>
      <c r="U462" s="36"/>
      <c r="V462" s="35"/>
      <c r="W462" s="29" t="s">
        <v>188</v>
      </c>
      <c r="X462" s="36">
        <v>5.2083333333333336E-2</v>
      </c>
      <c r="Y462" s="36">
        <v>1.3888888888888888E-2</v>
      </c>
      <c r="Z462" s="36">
        <v>1.0416666666666666E-2</v>
      </c>
      <c r="AA462" s="36">
        <v>6.9444444444444441E-3</v>
      </c>
      <c r="AB462" s="36" t="e">
        <f ca="1">VALUE(IF($M$462&gt;$R$462,"0:50","0:53"))</f>
        <v>#NAME?</v>
      </c>
      <c r="AC462" s="36">
        <v>3.4722222222222224E-2</v>
      </c>
    </row>
    <row r="463" spans="2:29">
      <c r="B463" s="132" t="s">
        <v>470</v>
      </c>
      <c r="D463" s="36" t="e">
        <f t="shared" ca="1" si="12"/>
        <v>#NAME?</v>
      </c>
      <c r="E463" s="36" t="e">
        <f t="shared" ca="1" si="13"/>
        <v>#NAME?</v>
      </c>
      <c r="F463" s="35" t="e">
        <f t="shared" ca="1" si="14"/>
        <v>#NAME?</v>
      </c>
      <c r="G463" s="35" t="e">
        <f t="shared" ca="1" si="15"/>
        <v>#NAME?</v>
      </c>
      <c r="H463" s="29" t="s">
        <v>37</v>
      </c>
      <c r="I463" s="36" t="e">
        <f t="shared" ca="1" si="16"/>
        <v>#NAME?</v>
      </c>
      <c r="J463" s="29" t="s">
        <v>37</v>
      </c>
      <c r="K463" s="36" t="e">
        <f t="shared" ca="1" si="17"/>
        <v>#NAME?</v>
      </c>
      <c r="L463" s="15" t="s">
        <v>254</v>
      </c>
      <c r="M463" s="35" t="e">
        <f ca="1">IF(印刷プレビュー!X24="空港 発 [リスト外2]             ",印刷プレビュー!Z24,IF(印刷プレビュー!X35="空港 発 [リスト外2]             ",印刷プレビュー!Z35,IF(印刷プレビュー!X43="空港 発 [リスト外2]             ",印刷プレビュー!Z43,IFVALUE("0:00"))))</f>
        <v>#NAME?</v>
      </c>
      <c r="N463" s="36" t="e">
        <f ca="1">M463+AB463</f>
        <v>#NAME?</v>
      </c>
      <c r="O463" s="36" t="e">
        <f t="shared" ca="1" si="18"/>
        <v>#NAME?</v>
      </c>
      <c r="P463" t="e">
        <f ca="1">IF($M$463&gt;$R$463,39.1,39.3)</f>
        <v>#NAME?</v>
      </c>
      <c r="Q463" s="35" t="e">
        <f t="shared" ca="1" si="19"/>
        <v>#NAME?</v>
      </c>
      <c r="R463" s="36">
        <v>0.82916666666666672</v>
      </c>
      <c r="S463"/>
      <c r="T463"/>
      <c r="U463" s="36"/>
      <c r="V463" s="35"/>
      <c r="W463" s="29" t="s">
        <v>188</v>
      </c>
      <c r="X463" s="36">
        <v>5.2083333333333336E-2</v>
      </c>
      <c r="Y463" s="36">
        <v>1.3888888888888888E-2</v>
      </c>
      <c r="Z463" s="36">
        <v>1.0416666666666666E-2</v>
      </c>
      <c r="AA463" s="36">
        <v>6.9444444444444441E-3</v>
      </c>
      <c r="AB463" s="36" t="e">
        <f ca="1">VALUE(IF($M$463&gt;$R$463,"0:50","0:53"))</f>
        <v>#NAME?</v>
      </c>
      <c r="AC463" s="36">
        <v>3.4722222222222224E-2</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E0C6A-36D7-4E35-929B-F3877019201A}">
  <sheetPr codeName="Sheet3"/>
  <dimension ref="A2:AF55"/>
  <sheetViews>
    <sheetView showWhiteSpace="0" zoomScaleNormal="100" workbookViewId="0">
      <selection activeCell="L6" sqref="L6"/>
    </sheetView>
  </sheetViews>
  <sheetFormatPr defaultRowHeight="13.5"/>
  <cols>
    <col min="4" max="7" width="9" style="36"/>
    <col min="9" max="11" width="9" style="36"/>
    <col min="13" max="15" width="9" style="36"/>
    <col min="17" max="17" width="9" style="36"/>
    <col min="18" max="18" width="9" style="89"/>
    <col min="19" max="22" width="9" style="36"/>
    <col min="26" max="26" width="9" customWidth="1"/>
  </cols>
  <sheetData>
    <row r="2" spans="1:31">
      <c r="A2" t="s">
        <v>92</v>
      </c>
    </row>
    <row r="3" spans="1:31" s="29" customFormat="1">
      <c r="B3" s="49" t="str">
        <f>IF(印刷プレビュー!$X$8="","",印刷プレビュー!$X$8)</f>
        <v/>
      </c>
      <c r="D3" s="37"/>
      <c r="E3" s="37"/>
      <c r="F3" s="37"/>
      <c r="G3" s="37"/>
      <c r="H3" s="37" t="str">
        <f>IF(印刷プレビュー!$X$8="","",VLOOKUP(印刷プレビュー!$X$8,データシート!$B$70:AB461,7,FALSE))</f>
        <v/>
      </c>
      <c r="I3" s="37"/>
      <c r="J3" s="37" t="str">
        <f>IF(印刷プレビュー!$X$8="","",VLOOKUP(印刷プレビュー!$X$8,データシート!$B$70:AD461,9,FALSE))</f>
        <v/>
      </c>
      <c r="K3" s="37"/>
      <c r="L3" s="29" t="str">
        <f>IF(印刷プレビュー!$X$8="","",VLOOKUP(印刷プレビュー!$X$8,データシート!$B$70:AF461,11,FALSE))</f>
        <v/>
      </c>
      <c r="M3" s="37"/>
      <c r="N3" s="37"/>
      <c r="O3" s="37"/>
      <c r="P3" s="39"/>
      <c r="Q3" s="37"/>
      <c r="R3" s="74" t="str">
        <f>IF(印刷プレビュー!$X$8="","",VLOOKUP(印刷プレビュー!$X$8,データシート!$B$70:AL461,17,FALSE))</f>
        <v/>
      </c>
      <c r="S3" s="37" t="str">
        <f>IF(印刷プレビュー!$X$8="","",VLOOKUP(印刷プレビュー!$X$8,データシート!$B$70:AM461,18,FALSE))</f>
        <v/>
      </c>
      <c r="T3" s="37" t="str">
        <f>IF(印刷プレビュー!$X$8="","",VLOOKUP(印刷プレビュー!$X$8,データシート!$B$70:AN461,19,FALSE))</f>
        <v/>
      </c>
      <c r="U3" s="37" t="str">
        <f>IF(印刷プレビュー!$X$8="","",VLOOKUP(印刷プレビュー!$X$8,データシート!$B$70:AO461,20,FALSE))</f>
        <v/>
      </c>
      <c r="V3" s="37" t="str">
        <f>IF(印刷プレビュー!$X$8="","",VLOOKUP(印刷プレビュー!$X$8,データシート!$B$70:AP461,21,FALSE))</f>
        <v/>
      </c>
      <c r="W3" s="37" t="str">
        <f>IF(印刷プレビュー!$X$8="","",VLOOKUP(印刷プレビュー!$X$8,データシート!$B$70:AQ461,22,FALSE))</f>
        <v/>
      </c>
      <c r="X3" s="37"/>
      <c r="Y3" s="37"/>
    </row>
    <row r="4" spans="1:31">
      <c r="A4" t="s">
        <v>90</v>
      </c>
      <c r="B4" s="2"/>
    </row>
    <row r="5" spans="1:31">
      <c r="B5" s="26" t="s">
        <v>30</v>
      </c>
      <c r="C5" s="26" t="s">
        <v>47</v>
      </c>
      <c r="D5" s="36" t="s">
        <v>29</v>
      </c>
      <c r="E5" s="36" t="s">
        <v>28</v>
      </c>
      <c r="F5" s="36" t="s">
        <v>2</v>
      </c>
      <c r="G5" s="36" t="s">
        <v>28</v>
      </c>
      <c r="H5" s="15" t="s">
        <v>32</v>
      </c>
      <c r="I5" s="36" t="s">
        <v>34</v>
      </c>
      <c r="J5" s="36" t="s">
        <v>33</v>
      </c>
      <c r="K5" s="36" t="s">
        <v>35</v>
      </c>
      <c r="L5" t="s">
        <v>36</v>
      </c>
      <c r="M5" s="36" t="s">
        <v>38</v>
      </c>
      <c r="N5" s="36" t="s">
        <v>39</v>
      </c>
      <c r="O5" s="36" t="s">
        <v>40</v>
      </c>
      <c r="P5" t="s">
        <v>41</v>
      </c>
      <c r="Q5" s="36" t="s">
        <v>51</v>
      </c>
      <c r="R5" s="89" t="s">
        <v>180</v>
      </c>
      <c r="S5" s="36" t="s">
        <v>42</v>
      </c>
      <c r="T5" s="36" t="s">
        <v>43</v>
      </c>
      <c r="U5" s="36" t="s">
        <v>44</v>
      </c>
      <c r="V5" s="36" t="s">
        <v>45</v>
      </c>
      <c r="W5" s="15" t="s">
        <v>121</v>
      </c>
      <c r="X5" s="73" t="s">
        <v>135</v>
      </c>
      <c r="Y5" s="73" t="s">
        <v>134</v>
      </c>
      <c r="Z5" s="36" t="s">
        <v>124</v>
      </c>
      <c r="AA5" t="s">
        <v>140</v>
      </c>
      <c r="AB5" s="36" t="s">
        <v>146</v>
      </c>
      <c r="AD5" s="26"/>
      <c r="AE5" s="82"/>
    </row>
    <row r="6" spans="1:31">
      <c r="A6" s="33"/>
      <c r="B6" s="179" t="str">
        <f>IF(印刷プレビュー!X13="","",印刷プレビュー!X13)</f>
        <v/>
      </c>
      <c r="C6" s="179"/>
      <c r="D6" s="37" t="str">
        <f>IF(印刷プレビュー!$X13="","",VLOOKUP(印刷プレビュー!$X13,データシート!$B$70:$X$463,3,FALSE))</f>
        <v/>
      </c>
      <c r="E6" s="37" t="str">
        <f>IF(印刷プレビュー!$X13="","",VLOOKUP(印刷プレビュー!$X13,データシート!$B$70:$X$463,4,FALSE))</f>
        <v/>
      </c>
      <c r="F6" s="37" t="str">
        <f>IF(OR(W6="Y1",W6="Y2"),D16,IF(印刷プレビュー!$X13="","",VLOOKUP(印刷プレビュー!$X13,データシート!$B$70:$X$463,5,FALSE)))</f>
        <v/>
      </c>
      <c r="G6" s="37" t="str">
        <f>IF(OR(W6="Y1",W6="Y2"),E16,IF(印刷プレビュー!$X13="","",VLOOKUP(印刷プレビュー!$X13,データシート!$B$70:$X$463,5,FALSE)))</f>
        <v/>
      </c>
      <c r="H6" s="37" t="str">
        <f>IF(印刷プレビュー!Y11="YES","本    社",IF(印刷プレビュー!$X13="","",VLOOKUP(印刷プレビュー!$X13,データシート!$B$70:$X$463,7,FALSE)))</f>
        <v/>
      </c>
      <c r="I6" s="37" t="str">
        <f>IF(印刷プレビュー!$X13="","",VLOOKUP(印刷プレビュー!$X13,データシート!$B$70:$X$463,8,FALSE))</f>
        <v/>
      </c>
      <c r="J6" s="37" t="str">
        <f>IF(印刷プレビュー!$X13="","",VLOOKUP(印刷プレビュー!$X13,データシート!$B$70:$X$463,9,FALSE))</f>
        <v/>
      </c>
      <c r="K6" s="37" t="str">
        <f>IF(OR(W6="Y1",W6="Y2"),D16,IF(印刷プレビュー!$X13="","",VLOOKUP(印刷プレビュー!$X13,データシート!$B$70:$X$463,10,FALSE)))</f>
        <v/>
      </c>
      <c r="L6" s="29" t="str">
        <f>IF(印刷プレビュー!$X13="","",VLOOKUP(印刷プレビュー!$X13,データシート!$B$70:$X$463,11,FALSE))</f>
        <v/>
      </c>
      <c r="M6" s="37" t="str">
        <f>IF(印刷プレビュー!$X13="","",VLOOKUP(印刷プレビュー!$X13,データシート!$B$70:$X$463,12,FALSE))</f>
        <v/>
      </c>
      <c r="N6" s="37" t="str">
        <f>IF(OR(W6="Y1",W6="Y2"),D16,IF(印刷プレビュー!$X13="","",VLOOKUP(印刷プレビュー!$X13,データシート!$B$70:$X$463,13,FALSE)))</f>
        <v/>
      </c>
      <c r="O6" s="37" t="str">
        <f>IF(印刷プレビュー!$X13="","",VLOOKUP(印刷プレビュー!$X13,データシート!$B$70:$X$463,14,FALSE))</f>
        <v/>
      </c>
      <c r="P6" s="29" t="str">
        <f>IF(印刷プレビュー!$X13="","",VLOOKUP(印刷プレビュー!$X13,データシート!$B$70:$X$463,15,FALSE))</f>
        <v/>
      </c>
      <c r="Q6" s="37" t="str">
        <f>IF(印刷プレビュー!$X13="","",VLOOKUP(印刷プレビュー!$X13,データシート!$B$70:$X$463,16,FALSE))</f>
        <v/>
      </c>
      <c r="R6" s="74" t="e">
        <f>VALUE(IF(印刷プレビュー!$X13="","",VLOOKUP(印刷プレビュー!$X13,データシート!$B$70:$X$463,17,FALSE)))</f>
        <v>#VALUE!</v>
      </c>
      <c r="S6" s="37" t="str">
        <f>IF(印刷プレビュー!$X13="","",VLOOKUP(印刷プレビュー!$X13,データシート!$B$70:$X$463,18,FALSE))</f>
        <v/>
      </c>
      <c r="T6" s="37" t="str">
        <f>IF(印刷プレビュー!$X13="","",VLOOKUP(印刷プレビュー!$X13,データシート!$B$70:$X$463,19,FALSE))</f>
        <v/>
      </c>
      <c r="U6" s="37" t="str">
        <f>IF(印刷プレビュー!$X13="","",VLOOKUP(印刷プレビュー!$X13,データシート!$B$70:$X$463,20,FALSE))</f>
        <v/>
      </c>
      <c r="V6" s="37" t="str">
        <f>IF(印刷プレビュー!$X13="","",VLOOKUP(印刷プレビュー!$X13,データシート!$B$70:$X$463,21,FALSE))</f>
        <v/>
      </c>
      <c r="W6" s="37" t="str">
        <f>IF(印刷プレビュー!$X13="","",VLOOKUP(印刷プレビュー!$X13,データシート!$B$70:$X$463,22,FALSE))</f>
        <v/>
      </c>
      <c r="X6" s="36"/>
      <c r="AD6" s="26"/>
    </row>
    <row r="7" spans="1:31">
      <c r="B7" s="179" t="str">
        <f>IF(印刷プレビュー!X14="","",印刷プレビュー!X14)</f>
        <v/>
      </c>
      <c r="C7" s="179"/>
      <c r="D7" s="37" t="str">
        <f>IF(印刷プレビュー!$X14="","",VLOOKUP(印刷プレビュー!$X14,データシート!$B$70:X461,3,FALSE))</f>
        <v/>
      </c>
      <c r="E7" s="37" t="str">
        <f>IF(印刷プレビュー!$X14="","",VLOOKUP(印刷プレビュー!$X14,データシート!$B$70:Y461,4,FALSE))</f>
        <v/>
      </c>
      <c r="F7" s="37" t="str">
        <f>IF(印刷プレビュー!$X14="","",VLOOKUP(印刷プレビュー!$X14,データシート!$B$70:Z461,5,FALSE))</f>
        <v/>
      </c>
      <c r="G7" s="37" t="str">
        <f>IF(印刷プレビュー!$X14="","",VLOOKUP(印刷プレビュー!$X14,データシート!$B$70:AA461,6,FALSE))</f>
        <v/>
      </c>
      <c r="H7" s="37" t="str">
        <f>IF(印刷プレビュー!$X14="","",VLOOKUP(印刷プレビュー!$X14,データシート!$B$70:AB461,7,FALSE))</f>
        <v/>
      </c>
      <c r="I7" s="37" t="str">
        <f>IF(印刷プレビュー!$X14="","",VLOOKUP(印刷プレビュー!$X14,データシート!$B$70:AC461,8,FALSE))</f>
        <v/>
      </c>
      <c r="J7" s="37" t="str">
        <f>IF(印刷プレビュー!$X14="","",VLOOKUP(印刷プレビュー!$X14,データシート!$B$70:AD461,9,FALSE))</f>
        <v/>
      </c>
      <c r="K7" s="37" t="str">
        <f>IF(印刷プレビュー!$X14="","",VLOOKUP(印刷プレビュー!$X14,データシート!$B$70:AE461,10,FALSE))</f>
        <v/>
      </c>
      <c r="L7" s="29" t="str">
        <f>IF(印刷プレビュー!$X14="","",VLOOKUP(印刷プレビュー!$X14,データシート!$B$70:AF461,11,FALSE))</f>
        <v/>
      </c>
      <c r="M7" s="37" t="str">
        <f>IF(印刷プレビュー!$X14="","",VLOOKUP(印刷プレビュー!$X14,データシート!$B$70:AG461,12,FALSE))</f>
        <v/>
      </c>
      <c r="N7" s="37" t="str">
        <f>IF(印刷プレビュー!$X14="","",VLOOKUP(印刷プレビュー!$X14,データシート!$B$70:AH461,13,FALSE))</f>
        <v/>
      </c>
      <c r="O7" s="37" t="str">
        <f>IF(印刷プレビュー!$X14="","",VLOOKUP(印刷プレビュー!$X14,データシート!$B$70:AI461,14,FALSE))</f>
        <v/>
      </c>
      <c r="P7" s="29" t="str">
        <f>IF(印刷プレビュー!$X14="","",VLOOKUP(印刷プレビュー!$X14,データシート!$B$70:AJ461,15,FALSE))</f>
        <v/>
      </c>
      <c r="Q7" s="37" t="str">
        <f>IF(印刷プレビュー!$X14="","",VLOOKUP(印刷プレビュー!$X14,データシート!$B$70:AK461,16,FALSE))</f>
        <v/>
      </c>
      <c r="R7" s="74" t="str">
        <f>IF(印刷プレビュー!$X14="","",VLOOKUP(印刷プレビュー!$X14,データシート!$B$70:AL461,17,FALSE))</f>
        <v/>
      </c>
      <c r="S7" s="37" t="str">
        <f>IF(印刷プレビュー!$X14="","",VLOOKUP(印刷プレビュー!$X14,データシート!$B$70:AM461,18,FALSE))</f>
        <v/>
      </c>
      <c r="T7" s="37" t="str">
        <f>IF(印刷プレビュー!$X14="","",VLOOKUP(印刷プレビュー!$X14,データシート!$B$70:AN461,19,FALSE))</f>
        <v/>
      </c>
      <c r="U7" s="37" t="str">
        <f>IF(印刷プレビュー!$X14="","",VLOOKUP(印刷プレビュー!$X14,データシート!$B$70:AO461,20,FALSE))</f>
        <v/>
      </c>
      <c r="V7" s="37" t="str">
        <f>IF(印刷プレビュー!$X14="","",VLOOKUP(印刷プレビュー!$X14,データシート!$B$70:AP461,21,FALSE))</f>
        <v/>
      </c>
      <c r="W7" s="37" t="str">
        <f>IF(印刷プレビュー!$X14="","",VLOOKUP(印刷プレビュー!$X14,データシート!$B$70:AP461,22,FALSE))</f>
        <v/>
      </c>
      <c r="AD7" s="26"/>
    </row>
    <row r="8" spans="1:31">
      <c r="B8" s="181" t="str">
        <f>IF(印刷プレビュー!X15="","",印刷プレビュー!X15)</f>
        <v/>
      </c>
      <c r="C8" s="181"/>
      <c r="D8" s="37" t="str">
        <f>IF(印刷プレビュー!$X15="","",VLOOKUP(印刷プレビュー!$X15,データシート!$B$70:X461,3,FALSE))</f>
        <v/>
      </c>
      <c r="E8" s="37" t="str">
        <f>IF(印刷プレビュー!$X15="","",VLOOKUP(印刷プレビュー!$X15,データシート!$B$70:Y461,4,FALSE))</f>
        <v/>
      </c>
      <c r="F8" s="37" t="str">
        <f>IF(印刷プレビュー!$X15="","",VLOOKUP(印刷プレビュー!$X15,データシート!$B$70:Z461,5,FALSE))</f>
        <v/>
      </c>
      <c r="G8" s="37" t="str">
        <f>IF(印刷プレビュー!$X15="","",VLOOKUP(印刷プレビュー!$X15,データシート!$B$70:AA461,6,FALSE))</f>
        <v/>
      </c>
      <c r="H8" s="37" t="str">
        <f>IF(印刷プレビュー!$X15="","",VLOOKUP(印刷プレビュー!$X15,データシート!$B$70:AB461,7,FALSE))</f>
        <v/>
      </c>
      <c r="I8" s="37" t="str">
        <f>IF(印刷プレビュー!$X15="","",VLOOKUP(印刷プレビュー!$X15,データシート!$B$70:AC461,8,FALSE))</f>
        <v/>
      </c>
      <c r="J8" s="37" t="str">
        <f>IF(印刷プレビュー!$X15="","",VLOOKUP(印刷プレビュー!$X15,データシート!$B$70:AD461,9,FALSE))</f>
        <v/>
      </c>
      <c r="K8" s="37" t="str">
        <f>IF(印刷プレビュー!$X15="","",VLOOKUP(印刷プレビュー!$X15,データシート!$B$70:AE461,10,FALSE))</f>
        <v/>
      </c>
      <c r="L8" s="29" t="str">
        <f>IF(印刷プレビュー!$X15="","",VLOOKUP(印刷プレビュー!$X15,データシート!$B$70:AF461,11,FALSE))</f>
        <v/>
      </c>
      <c r="M8" s="37" t="str">
        <f>IF(印刷プレビュー!$X15="","",VLOOKUP(印刷プレビュー!$X15,データシート!$B$70:AG461,12,FALSE))</f>
        <v/>
      </c>
      <c r="N8" s="37" t="str">
        <f>IF(印刷プレビュー!$X15="","",VLOOKUP(印刷プレビュー!$X15,データシート!$B$70:AH461,13,FALSE))</f>
        <v/>
      </c>
      <c r="O8" s="37" t="str">
        <f>IF(印刷プレビュー!$X15="","",VLOOKUP(印刷プレビュー!$X15,データシート!$B$70:AI461,14,FALSE))</f>
        <v/>
      </c>
      <c r="P8" s="29" t="str">
        <f>IF(印刷プレビュー!$X15="","",VLOOKUP(印刷プレビュー!$X15,データシート!$B$70:AJ461,15,FALSE))</f>
        <v/>
      </c>
      <c r="Q8" s="37" t="str">
        <f>IF(印刷プレビュー!$X15="","",VLOOKUP(印刷プレビュー!$X15,データシート!$B$70:AK461,16,FALSE))</f>
        <v/>
      </c>
      <c r="R8" s="74" t="str">
        <f>IF(印刷プレビュー!$X15="","",VLOOKUP(印刷プレビュー!$X15,データシート!$B$70:AL461,17,FALSE))</f>
        <v/>
      </c>
      <c r="S8" s="37" t="str">
        <f>IF(印刷プレビュー!$X15="","",VLOOKUP(印刷プレビュー!$X15,データシート!$B$70:AM461,18,FALSE))</f>
        <v/>
      </c>
      <c r="T8" s="37" t="str">
        <f>IF(印刷プレビュー!$X15="","",VLOOKUP(印刷プレビュー!$X15,データシート!$B$70:AN461,19,FALSE))</f>
        <v/>
      </c>
      <c r="U8" s="37" t="str">
        <f>IF(印刷プレビュー!$X15="","",VLOOKUP(印刷プレビュー!$X15,データシート!$B$70:AO461,20,FALSE))</f>
        <v/>
      </c>
      <c r="V8" s="37" t="str">
        <f>IF(印刷プレビュー!$X15="","",VLOOKUP(印刷プレビュー!$X15,データシート!$B$70:AP461,21,FALSE))</f>
        <v/>
      </c>
      <c r="W8" s="37" t="str">
        <f>IF(印刷プレビュー!$X15="","",VLOOKUP(印刷プレビュー!$X15,データシート!$B$70:AP461,22,FALSE))</f>
        <v/>
      </c>
    </row>
    <row r="9" spans="1:31">
      <c r="B9" s="181" t="str">
        <f>IF(印刷プレビュー!X17="","",印刷プレビュー!X17)</f>
        <v/>
      </c>
      <c r="C9" s="181"/>
      <c r="D9" s="37" t="str">
        <f>IF(印刷プレビュー!$X17="","",VLOOKUP(印刷プレビュー!$X17,データシート!$B$70:X461,3,FALSE))</f>
        <v/>
      </c>
      <c r="E9" s="37" t="str">
        <f>IF(印刷プレビュー!$X17="","",VLOOKUP(印刷プレビュー!$X17,データシート!$B$70:Y461,4,FALSE))</f>
        <v/>
      </c>
      <c r="F9" s="37" t="str">
        <f>IF(印刷プレビュー!$X17="","",VLOOKUP(印刷プレビュー!$X17,データシート!$B$70:Z461,5,FALSE))</f>
        <v/>
      </c>
      <c r="G9" s="37" t="str">
        <f>IF(印刷プレビュー!$X17="","",VLOOKUP(印刷プレビュー!$X17,データシート!$B$70:AA461,6,FALSE))</f>
        <v/>
      </c>
      <c r="H9" s="37" t="str">
        <f>IF(印刷プレビュー!$X17="","",VLOOKUP(印刷プレビュー!$X17,データシート!$B$70:AB461,7,FALSE))</f>
        <v/>
      </c>
      <c r="I9" s="37" t="str">
        <f>IF(印刷プレビュー!$X17="","",VLOOKUP(印刷プレビュー!$X17,データシート!$B$70:AC461,8,FALSE))</f>
        <v/>
      </c>
      <c r="J9" s="37" t="str">
        <f>IF(印刷プレビュー!$X17="","",VLOOKUP(印刷プレビュー!$X17,データシート!$B$70:AD461,9,FALSE))</f>
        <v/>
      </c>
      <c r="K9" s="37" t="str">
        <f>IF(印刷プレビュー!$X17="","",VLOOKUP(印刷プレビュー!$X17,データシート!$B$70:AE461,10,FALSE))</f>
        <v/>
      </c>
      <c r="L9" s="29" t="str">
        <f>IF(印刷プレビュー!$X17="","",VLOOKUP(印刷プレビュー!$X17,データシート!$B$70:AF461,11,FALSE))</f>
        <v/>
      </c>
      <c r="M9" s="37" t="str">
        <f>IF(印刷プレビュー!$X17="","",VLOOKUP(印刷プレビュー!$X17,データシート!$B$70:AG461,12,FALSE))</f>
        <v/>
      </c>
      <c r="N9" s="37" t="str">
        <f>IF(印刷プレビュー!$X17="","",VLOOKUP(印刷プレビュー!$X17,データシート!$B$70:AH461,13,FALSE))</f>
        <v/>
      </c>
      <c r="O9" s="37" t="str">
        <f>IF(印刷プレビュー!$X17="","",VLOOKUP(印刷プレビュー!$X17,データシート!$B$70:AI461,14,FALSE))</f>
        <v/>
      </c>
      <c r="P9" s="29" t="str">
        <f>IF(印刷プレビュー!$X17="","",VLOOKUP(印刷プレビュー!$X17,データシート!$B$70:AJ461,15,FALSE))</f>
        <v/>
      </c>
      <c r="Q9" s="37" t="str">
        <f>IF(印刷プレビュー!$X17="","",VLOOKUP(印刷プレビュー!$X17,データシート!$B$70:AK461,16,FALSE))</f>
        <v/>
      </c>
      <c r="R9" s="74" t="str">
        <f>IF(印刷プレビュー!$X17="","",VLOOKUP(印刷プレビュー!$X17,データシート!$B$70:AL461,17,FALSE))</f>
        <v/>
      </c>
      <c r="S9" s="37" t="str">
        <f>IF(印刷プレビュー!$X17="","",VLOOKUP(印刷プレビュー!$X17,データシート!$B$70:AM461,18,FALSE))</f>
        <v/>
      </c>
      <c r="T9" s="37" t="str">
        <f>IF(印刷プレビュー!$X17="","",VLOOKUP(印刷プレビュー!$X17,データシート!$B$70:AN461,19,FALSE))</f>
        <v/>
      </c>
      <c r="U9" s="37" t="str">
        <f>IF(印刷プレビュー!$X17="","",VLOOKUP(印刷プレビュー!$X17,データシート!$B$70:AO461,20,FALSE))</f>
        <v/>
      </c>
      <c r="V9" s="37" t="str">
        <f>IF(印刷プレビュー!$X17="","",VLOOKUP(印刷プレビュー!$X17,データシート!$B$70:AP461,21,FALSE))</f>
        <v/>
      </c>
      <c r="W9" s="37" t="str">
        <f>IF(印刷プレビュー!$X17="","",VLOOKUP(印刷プレビュー!$X17,データシート!$B$70:AP461,22,FALSE))</f>
        <v/>
      </c>
    </row>
    <row r="10" spans="1:31">
      <c r="B10" s="182"/>
      <c r="C10" s="182"/>
      <c r="D10" s="37" t="str">
        <f>IF(印刷プレビュー!$X17="","",VLOOKUP(印刷プレビュー!$X17,データシート!$B$70:X461,3,FALSE))</f>
        <v/>
      </c>
    </row>
    <row r="11" spans="1:31" ht="15.75" customHeight="1">
      <c r="D11" s="37" t="str">
        <f>IF(D6="","",D6)</f>
        <v/>
      </c>
      <c r="E11" s="36" t="s">
        <v>93</v>
      </c>
      <c r="F11" s="37" t="str">
        <f>IF(F6="","",IF(F7="",F6,IF(F8="",F7,IF(F9="",F8,F9))))</f>
        <v/>
      </c>
      <c r="G11" s="36" t="s">
        <v>94</v>
      </c>
      <c r="H11" s="37" t="str">
        <f>$H$6</f>
        <v/>
      </c>
      <c r="I11" s="37" t="str">
        <f>IF(T6="","",I6)</f>
        <v/>
      </c>
      <c r="J11" s="37" t="str">
        <f>IF(印刷プレビュー!Y12="YES","本    社",IF(AND(J6&lt;&gt;"",J7=""),J6,IF(AND(J7&lt;&gt;"",J8=""),J7,IF(AND(J8&lt;&gt;"",J9=""),J8,J9))))</f>
        <v/>
      </c>
      <c r="K11" s="37" t="str">
        <f>IF(K6="","",IF(K7="",K6,IF(K8="",K7,IF(K9="",K8,K9))))</f>
        <v/>
      </c>
      <c r="L11" s="29" t="str">
        <f>IF(AND(L6=L7,L6=L8,L6=L9),L6,IF(AND(L6=L7,L6=L8),L6&amp;"    "&amp;L9,IF(L6=L7,L6&amp;"    "&amp;L8,L6&amp;"    "&amp;L7)))</f>
        <v/>
      </c>
      <c r="M11" s="37" t="str">
        <f>IF(M6="","",M6)</f>
        <v/>
      </c>
      <c r="N11" s="37" t="str">
        <f>IF(N6="","",IF(N7="",N6,IF(N8="",N7,IF(N9="",N8,N9))))</f>
        <v/>
      </c>
      <c r="O11" s="37" t="str">
        <f>IF(O6="","",IF(O7="",O6+印刷プレビュー!AA16,IF(O8="",O6+O7+印刷プレビュー!AA16,IF(O9="",O6+O7+O8+印刷プレビュー!AA16,O6+O7+O8+O9+印刷プレビュー!AA16))))</f>
        <v/>
      </c>
      <c r="P11" s="38">
        <f>SUM(P6:P9)+印刷プレビュー!AB18</f>
        <v>0</v>
      </c>
      <c r="Q11" s="37" t="str">
        <f>IF(Q6="","",IF(Q7="",Q6,IF(Q8="",Q6+Q7,IF(Q9="",Q6+Q7+Q8,Q6+Q7+Q8+Q9))))</f>
        <v/>
      </c>
      <c r="R11" s="74" t="e">
        <f>IF(R6="","0:0",IF(R7="",R6,IF(R8="",R6+R7,IF(R9="",R6+R7+R8,R6+R7+R8+R9))))</f>
        <v>#VALUE!</v>
      </c>
      <c r="U11" s="37" t="str">
        <f>IF(OR(W6="B",W6="B2"),IF(U6&lt;D3,F11,F3),"0:00")</f>
        <v>0:00</v>
      </c>
      <c r="V11" s="37" t="b">
        <f>IF(OR(W6="B",W6="B2"),IF(D16="",IF(V6&lt;F3,D3,D6),D16))</f>
        <v>0</v>
      </c>
      <c r="W11" t="str">
        <f>IF(W6="B"," ",IF(OR(W6="B2",V6="10:41"),"",""))</f>
        <v/>
      </c>
      <c r="X11" s="36" t="str">
        <f>IF(W6&lt;&gt;"",IF(AND(R11&gt;データシート!$K$65,R11&lt;データシート!$K$66),R11,VALUE(F11)-VALUE(D11)),"0:00")</f>
        <v>0:00</v>
      </c>
      <c r="Y11" s="37" t="str">
        <f>IF(OR(W6="K",W6="K2",W6="T"),Q11+印刷プレビュー!AA18,"0:00")</f>
        <v>0:00</v>
      </c>
      <c r="Z11" s="37" t="str">
        <f>IF(OR(W6="",W6="K",W6="K2",W6="K2",W6="T",W6="B",W6="B2"),"0:00",IF(AND(W6="Y1",$F$11&gt;データシート!$P$61-データシート!$P$64),($F$11-D11)-データシート!$Q$61,IF(AND(W6="Y1",$F$11&lt;データシート!$P$61-データシート!$P$64,$F$11&gt;データシート!$O$61+データシート!$P$64),$F$11-D11-($F$11-データシート!$O$61)-データシート!$R$61,IF(AND(W6="Y1",$F$11&gt;データシート!$N$61-データシート!$P$64),$F$11-D11-データシート!$R$61,IF(AND(W6="Y1",$F$11&lt;データシート!$N$61-データシート!$P$64,$F$11&gt;データシート!$M$61+データシート!$P$64),$F$11-D11-($F$11-データシート!$M$61),IF(AND(W6="Y2",$F$11&gt;データシート!$P$62-データシート!$P$64),$F$11-D11-データシート!$Q$62,IF(AND(W6="Y2",$F$11&lt;データシート!$P$62-データシート!$P$64,$F$11&gt;データシート!$O$62+データシート!$P$64),$F$11-D11-($F$11-データシート!$O$62)-データシート!$R$62,IF(AND(W6="Y2",$F$11&gt;データシート!$N$62-データシート!$P$64),$F$11-D11-データシート!$R$62,IF(AND(W6="Y2",$F$11&lt;データシート!$N$62-データシート!$P$64,$F$11&gt;データシート!$M$62+データシート!$P$64),$F$11-D11-($F$11-データシート!$M$62),IF(AND(W6="Y4",D11&gt;データシート!$N$63-データシート!$P$64),F11-F1,IF(AND(W6="Y4",D11&lt;データシート!$N$63-データシート!$P$64,D11&gt;データシート!$M$63+データシート!$P$64),F11-F1-(データシート!$N$63-D11),IF(AND(W6="Y4",D11&lt;データシート!$M$63+データシート!$P$64),F11-F1-データシート!$R$63,IF(AND(W6="Y5",D11&gt;データシート!$N$64-データシート!$P$64),F11-F1,IF(AND(W6="Y5",D11&lt;データシート!$N$64-データシート!$P$64,D11&gt;データシート!$M$64+データシート!$P$64),F11-F1-(データシート!$N$64-D11),IF(AND(W6="Y5",D11&lt;データシート!$M$64+データシート!$P$64),F11-F1-データシート!$R$64,)))))))))))))))</f>
        <v>0:00</v>
      </c>
      <c r="AA11" s="37" t="str">
        <f>IF(OR(W6="B",W6="B2"),Q6,"0:00")</f>
        <v>0:00</v>
      </c>
      <c r="AB11" s="37" t="str">
        <f>IF(OR(W6="B",W6="B2"),"","")</f>
        <v/>
      </c>
      <c r="AD11" s="36"/>
    </row>
    <row r="12" spans="1:31">
      <c r="D12" s="37"/>
      <c r="I12" s="36" t="s">
        <v>95</v>
      </c>
      <c r="K12" s="36" t="s">
        <v>96</v>
      </c>
      <c r="M12" s="36" t="s">
        <v>95</v>
      </c>
      <c r="N12" s="36" t="s">
        <v>96</v>
      </c>
      <c r="Z12" s="36"/>
      <c r="AB12" s="36"/>
    </row>
    <row r="13" spans="1:31" ht="17.25" customHeight="1">
      <c r="D13" s="37"/>
      <c r="L13" s="63"/>
      <c r="Y13" s="36"/>
    </row>
    <row r="14" spans="1:31">
      <c r="A14" t="s">
        <v>91</v>
      </c>
      <c r="D14" s="37"/>
    </row>
    <row r="15" spans="1:31">
      <c r="B15" s="26" t="s">
        <v>30</v>
      </c>
      <c r="C15" s="26" t="s">
        <v>47</v>
      </c>
      <c r="D15" s="36" t="s">
        <v>29</v>
      </c>
      <c r="E15" s="36" t="s">
        <v>28</v>
      </c>
      <c r="F15" s="36" t="s">
        <v>2</v>
      </c>
      <c r="G15" s="36" t="s">
        <v>28</v>
      </c>
      <c r="H15" s="15" t="s">
        <v>32</v>
      </c>
      <c r="I15" s="36" t="s">
        <v>34</v>
      </c>
      <c r="J15" s="36" t="s">
        <v>33</v>
      </c>
      <c r="K15" s="36" t="s">
        <v>35</v>
      </c>
      <c r="L15" t="s">
        <v>36</v>
      </c>
      <c r="M15" s="36" t="s">
        <v>38</v>
      </c>
      <c r="N15" s="36" t="s">
        <v>39</v>
      </c>
      <c r="O15" s="36" t="s">
        <v>40</v>
      </c>
      <c r="P15" t="s">
        <v>41</v>
      </c>
      <c r="Q15" s="36" t="s">
        <v>51</v>
      </c>
      <c r="R15" s="89" t="s">
        <v>180</v>
      </c>
      <c r="S15" s="36" t="s">
        <v>42</v>
      </c>
      <c r="T15" s="36" t="s">
        <v>43</v>
      </c>
      <c r="U15" s="36" t="s">
        <v>44</v>
      </c>
      <c r="V15" s="36" t="s">
        <v>45</v>
      </c>
    </row>
    <row r="16" spans="1:31">
      <c r="B16" s="179" t="str">
        <f>IF(印刷プレビュー!X24="","",印刷プレビュー!X24)</f>
        <v/>
      </c>
      <c r="C16" s="179"/>
      <c r="D16" s="37" t="str">
        <f>IF(OR(W16="Y4",W16="Y5"),F11,IF(印刷プレビュー!$X24="","",VLOOKUP(印刷プレビュー!$X24,データシート!$B$70:$X$463,3,FALSE)))</f>
        <v/>
      </c>
      <c r="E16" s="37" t="str">
        <f>IF(OR(W16="Y4",W16="Y5"),F11,IF(印刷プレビュー!$X24="","",VLOOKUP(印刷プレビュー!$X24,データシート!$B$70:$X$463,3,FALSE)))</f>
        <v/>
      </c>
      <c r="F16" s="37" t="str">
        <f>IF(印刷プレビュー!$X24="","",VLOOKUP(印刷プレビュー!$X24,データシート!$B$70:$X$463,5,FALSE))</f>
        <v/>
      </c>
      <c r="G16" s="37" t="str">
        <f>IF(印刷プレビュー!$X24="","",VLOOKUP(印刷プレビュー!$X24,データシート!$B$70:$X$463,6,FALSE))</f>
        <v/>
      </c>
      <c r="H16" s="37" t="str">
        <f>IF(印刷プレビュー!Y21="YES","本    社",IF(印刷プレビュー!$X24="","",VLOOKUP(印刷プレビュー!$X24,データシート!$B$70:$X$463,7,FALSE)))</f>
        <v/>
      </c>
      <c r="I16" s="37" t="str">
        <f>IF(印刷プレビュー!$X24="","",VLOOKUP(印刷プレビュー!$X24,データシート!$B$70:$X$463,8,FALSE))</f>
        <v/>
      </c>
      <c r="J16" s="37" t="str">
        <f>IF(印刷プレビュー!$X24="","",VLOOKUP(印刷プレビュー!$X24,データシート!$B$70:$X$463,9,FALSE))</f>
        <v/>
      </c>
      <c r="K16" s="37" t="str">
        <f>IF(印刷プレビュー!$X24="","",VLOOKUP(印刷プレビュー!$X24,データシート!$B$70:$X$463,10,FALSE))</f>
        <v/>
      </c>
      <c r="L16" s="29" t="str">
        <f>IF(印刷プレビュー!$X24="","",VLOOKUP(印刷プレビュー!$X24,データシート!$B$70:$X$463,11,FALSE))</f>
        <v/>
      </c>
      <c r="M16" s="37" t="str">
        <f>IF(OR(W16="Y4",W16="Y5"),F11,IF(印刷プレビュー!$X24="","",VLOOKUP(印刷プレビュー!$X24,データシート!$B$70:$X$463,12,FALSE)))</f>
        <v/>
      </c>
      <c r="N16" s="37" t="str">
        <f>IF(印刷プレビュー!$X24="","",VLOOKUP(印刷プレビュー!$X24,データシート!$B$70:$X$463,13,FALSE))</f>
        <v/>
      </c>
      <c r="O16" s="37" t="str">
        <f>IF(印刷プレビュー!$X24="","",VLOOKUP(印刷プレビュー!$X24,データシート!$B$70:$X$463,14,FALSE))</f>
        <v/>
      </c>
      <c r="P16" s="29" t="str">
        <f>IF(印刷プレビュー!$X24="","",VLOOKUP(印刷プレビュー!$X24,データシート!$B$70:$X$463,15,FALSE))</f>
        <v/>
      </c>
      <c r="Q16" s="37" t="str">
        <f>IF(印刷プレビュー!$X24="","",VLOOKUP(印刷プレビュー!$X24,データシート!$B$70:$X$463,16,FALSE))</f>
        <v/>
      </c>
      <c r="R16" s="74" t="str">
        <f>IF(印刷プレビュー!$X24="","",VLOOKUP(印刷プレビュー!$X24,データシート!$B$70:$X$463,17,FALSE))</f>
        <v/>
      </c>
      <c r="S16" s="37" t="str">
        <f>IF(印刷プレビュー!$X24="","",VLOOKUP(印刷プレビュー!$X24,データシート!$B$70:$X$463,18,FALSE))</f>
        <v/>
      </c>
      <c r="T16" s="37" t="str">
        <f>IF(印刷プレビュー!$X24="","",VLOOKUP(印刷プレビュー!$X24,データシート!$B$70:$X$463,19,FALSE))</f>
        <v/>
      </c>
      <c r="U16" s="37" t="str">
        <f>IF(印刷プレビュー!$X24="","",VLOOKUP(印刷プレビュー!$X24,データシート!$B$70:$X$463,20,FALSE))</f>
        <v/>
      </c>
      <c r="V16" s="37" t="str">
        <f>IF(印刷プレビュー!$X24="","",VLOOKUP(印刷プレビュー!$X24,データシート!$B$70:$X$463,21,FALSE))</f>
        <v/>
      </c>
      <c r="W16" s="37" t="str">
        <f>IF(印刷プレビュー!$X24="","",VLOOKUP(印刷プレビュー!$X24,データシート!$B$70:$X$463,22,FALSE))</f>
        <v/>
      </c>
      <c r="X16" s="36"/>
    </row>
    <row r="17" spans="1:28">
      <c r="B17" s="179" t="str">
        <f>IF(印刷プレビュー!X25="","",印刷プレビュー!X25)</f>
        <v/>
      </c>
      <c r="C17" s="179"/>
      <c r="D17" s="37" t="str">
        <f>IF(印刷プレビュー!$X25="","",VLOOKUP(印刷プレビュー!$X25,データシート!$B$70:X461,3,FALSE))</f>
        <v/>
      </c>
      <c r="E17" s="37" t="str">
        <f>IF(印刷プレビュー!$X25="","",VLOOKUP(印刷プレビュー!$X25,データシート!$B$70:Y461,4,FALSE))</f>
        <v/>
      </c>
      <c r="F17" s="37" t="str">
        <f>IF(印刷プレビュー!$X25="","",VLOOKUP(印刷プレビュー!$X25,データシート!$B$70:Z461,5,FALSE))</f>
        <v/>
      </c>
      <c r="G17" s="37" t="str">
        <f>IF(印刷プレビュー!$X25="","",VLOOKUP(印刷プレビュー!$X25,データシート!$B$70:AA461,6,FALSE))</f>
        <v/>
      </c>
      <c r="H17" s="37" t="str">
        <f>IF(印刷プレビュー!$X25="","",VLOOKUP(印刷プレビュー!$X25,データシート!$B$70:AB461,7,FALSE))</f>
        <v/>
      </c>
      <c r="I17" s="37" t="str">
        <f>IF(印刷プレビュー!$X25="","",VLOOKUP(印刷プレビュー!$X25,データシート!$B$70:AC461,8,FALSE))</f>
        <v/>
      </c>
      <c r="J17" s="37" t="str">
        <f>IF(印刷プレビュー!$X25="","",VLOOKUP(印刷プレビュー!$X25,データシート!$B$70:AD461,9,FALSE))</f>
        <v/>
      </c>
      <c r="K17" s="37" t="str">
        <f>IF(印刷プレビュー!$X25="","",VLOOKUP(印刷プレビュー!$X25,データシート!$B$70:AE461,10,FALSE))</f>
        <v/>
      </c>
      <c r="L17" s="29" t="str">
        <f>IF(印刷プレビュー!$X25="","",VLOOKUP(印刷プレビュー!$X25,データシート!$B$70:AF461,11,FALSE))</f>
        <v/>
      </c>
      <c r="M17" s="37" t="str">
        <f>IF(印刷プレビュー!$X25="","",VLOOKUP(印刷プレビュー!$X25,データシート!$B$70:AG461,12,FALSE))</f>
        <v/>
      </c>
      <c r="N17" s="37" t="str">
        <f>IF(印刷プレビュー!$X25="","",VLOOKUP(印刷プレビュー!$X25,データシート!$B$70:AH461,13,FALSE))</f>
        <v/>
      </c>
      <c r="O17" s="37" t="str">
        <f>IF(印刷プレビュー!$X25="","",VLOOKUP(印刷プレビュー!$X25,データシート!$B$70:AI461,14,FALSE))</f>
        <v/>
      </c>
      <c r="P17" s="29" t="str">
        <f>IF(印刷プレビュー!$X25="","",VLOOKUP(印刷プレビュー!$X25,データシート!$B$70:AJ461,15,FALSE))</f>
        <v/>
      </c>
      <c r="Q17" s="37" t="str">
        <f>IF(印刷プレビュー!$X25="","",VLOOKUP(印刷プレビュー!$X25,データシート!$B$70:AK461,16,FALSE))</f>
        <v/>
      </c>
      <c r="R17" s="74" t="str">
        <f>IF(印刷プレビュー!$X25="","",VLOOKUP(印刷プレビュー!$X25,データシート!$B$70:AL461,17,FALSE))</f>
        <v/>
      </c>
      <c r="S17" s="37" t="str">
        <f>IF(印刷プレビュー!$X25="","",VLOOKUP(印刷プレビュー!$X25,データシート!$B$70:AM461,18,FALSE))</f>
        <v/>
      </c>
      <c r="T17" s="37" t="str">
        <f>IF(印刷プレビュー!$X25="","",VLOOKUP(印刷プレビュー!$X25,データシート!$B$70:AN461,19,FALSE))</f>
        <v/>
      </c>
      <c r="U17" s="37" t="str">
        <f>IF(印刷プレビュー!$X25="","",VLOOKUP(印刷プレビュー!$X25,データシート!$B$70:AO461,20,FALSE))</f>
        <v/>
      </c>
      <c r="V17" s="37" t="str">
        <f>IF(印刷プレビュー!$X25="","",VLOOKUP(印刷プレビュー!$X25,データシート!$B$70:AP461,21,FALSE))</f>
        <v/>
      </c>
      <c r="W17" s="37" t="str">
        <f>IF(印刷プレビュー!$X25="","",VLOOKUP(印刷プレビュー!$X25,データシート!$B$70:AP461,22,FALSE))</f>
        <v/>
      </c>
    </row>
    <row r="18" spans="1:28">
      <c r="B18" s="179" t="str">
        <f>IF(印刷プレビュー!X27="","",印刷プレビュー!X27)</f>
        <v/>
      </c>
      <c r="C18" s="179"/>
      <c r="D18" s="37" t="str">
        <f>IF(印刷プレビュー!$X26="","",VLOOKUP(印刷プレビュー!$X26,データシート!$B$70:X461,3,FALSE))</f>
        <v/>
      </c>
      <c r="E18" s="37" t="str">
        <f>IF(印刷プレビュー!$X27="","",VLOOKUP(印刷プレビュー!$X27,データシート!$B$70:Y461,4,FALSE))</f>
        <v/>
      </c>
      <c r="F18" s="37" t="str">
        <f>IF(印刷プレビュー!$X27="","",VLOOKUP(印刷プレビュー!$X27,データシート!$B$70:Z461,5,FALSE))</f>
        <v/>
      </c>
      <c r="G18" s="37" t="str">
        <f>IF(印刷プレビュー!$X27="","",VLOOKUP(印刷プレビュー!$X27,データシート!$B$70:AA461,6,FALSE))</f>
        <v/>
      </c>
      <c r="H18" s="37" t="str">
        <f>IF(印刷プレビュー!$X27="","",VLOOKUP(印刷プレビュー!$X27,データシート!$B$70:AB461,7,FALSE))</f>
        <v/>
      </c>
      <c r="I18" s="37" t="str">
        <f>IF(印刷プレビュー!$X27="","",VLOOKUP(印刷プレビュー!$X27,データシート!$B$70:AC461,8,FALSE))</f>
        <v/>
      </c>
      <c r="J18" s="37" t="str">
        <f>IF(印刷プレビュー!$X27="","",VLOOKUP(印刷プレビュー!$X27,データシート!$B$70:AD461,9,FALSE))</f>
        <v/>
      </c>
      <c r="K18" s="37" t="str">
        <f>IF(印刷プレビュー!$X27="","",VLOOKUP(印刷プレビュー!$X27,データシート!$B$70:AE461,10,FALSE))</f>
        <v/>
      </c>
      <c r="L18" s="29" t="str">
        <f>IF(印刷プレビュー!$X27="","",VLOOKUP(印刷プレビュー!$X27,データシート!$B$70:AF461,11,FALSE))</f>
        <v/>
      </c>
      <c r="M18" s="37" t="str">
        <f>IF(印刷プレビュー!$X27="","",VLOOKUP(印刷プレビュー!$X27,データシート!$B$70:AG461,12,FALSE))</f>
        <v/>
      </c>
      <c r="N18" s="37" t="str">
        <f>IF(印刷プレビュー!$X27="","",VLOOKUP(印刷プレビュー!$X27,データシート!$B$70:AH461,13,FALSE))</f>
        <v/>
      </c>
      <c r="O18" s="37" t="str">
        <f>IF(印刷プレビュー!$X27="","",VLOOKUP(印刷プレビュー!$X27,データシート!$B$70:AI461,14,FALSE))</f>
        <v/>
      </c>
      <c r="P18" s="29" t="str">
        <f>IF(印刷プレビュー!$X27="","",VLOOKUP(印刷プレビュー!$X27,データシート!$B$70:AJ461,15,FALSE))</f>
        <v/>
      </c>
      <c r="Q18" s="37" t="str">
        <f>IF(印刷プレビュー!$X27="","",VLOOKUP(印刷プレビュー!$X27,データシート!$B$70:AK461,16,FALSE))</f>
        <v/>
      </c>
      <c r="R18" s="74" t="str">
        <f>IF(印刷プレビュー!$X27="","",VLOOKUP(印刷プレビュー!$X27,データシート!$B$70:AL461,17,FALSE))</f>
        <v/>
      </c>
      <c r="S18" s="37" t="str">
        <f>IF(印刷プレビュー!$X27="","",VLOOKUP(印刷プレビュー!$X27,データシート!$B$70:AM461,18,FALSE))</f>
        <v/>
      </c>
      <c r="T18" s="37" t="str">
        <f>IF(印刷プレビュー!$X27="","",VLOOKUP(印刷プレビュー!$X27,データシート!$B$70:AN461,19,FALSE))</f>
        <v/>
      </c>
      <c r="U18" s="37" t="str">
        <f>IF(印刷プレビュー!$X27="","",VLOOKUP(印刷プレビュー!$X27,データシート!$B$70:AO461,20,FALSE))</f>
        <v/>
      </c>
      <c r="V18" s="37" t="str">
        <f>IF(印刷プレビュー!$X27="","",VLOOKUP(印刷プレビュー!$X27,データシート!$B$70:AP461,21,FALSE))</f>
        <v/>
      </c>
      <c r="W18" s="37" t="str">
        <f>IF(印刷プレビュー!$X27="","",VLOOKUP(印刷プレビュー!$X27,データシート!$B$70:AP461,22,FALSE))</f>
        <v/>
      </c>
    </row>
    <row r="19" spans="1:28">
      <c r="B19" s="179" t="str">
        <f>IF(印刷プレビュー!X28="","",印刷プレビュー!X28)</f>
        <v/>
      </c>
      <c r="C19" s="179"/>
      <c r="D19" s="37" t="str">
        <f>IF(印刷プレビュー!$X27="","",VLOOKUP(印刷プレビュー!$X27,データシート!$B$70:X461,3,FALSE))</f>
        <v/>
      </c>
      <c r="E19" s="37" t="str">
        <f>IF(印刷プレビュー!$X28="","",VLOOKUP(印刷プレビュー!$X28,データシート!$B$70:Y461,4,FALSE))</f>
        <v/>
      </c>
      <c r="F19" s="37" t="str">
        <f>IF(印刷プレビュー!$X28="","",VLOOKUP(印刷プレビュー!$X28,データシート!$B$70:Z461,5,FALSE))</f>
        <v/>
      </c>
      <c r="G19" s="37" t="str">
        <f>IF(印刷プレビュー!$X28="","",VLOOKUP(印刷プレビュー!$X28,データシート!$B$70:AA461,6,FALSE))</f>
        <v/>
      </c>
      <c r="H19" s="37" t="str">
        <f>IF(印刷プレビュー!$X28="","",VLOOKUP(印刷プレビュー!$X28,データシート!$B$70:AB461,7,FALSE))</f>
        <v/>
      </c>
      <c r="I19" s="37" t="str">
        <f>IF(印刷プレビュー!$X28="","",VLOOKUP(印刷プレビュー!$X28,データシート!$B$70:AC461,8,FALSE))</f>
        <v/>
      </c>
      <c r="J19" s="37" t="str">
        <f>IF(印刷プレビュー!$X28="","",VLOOKUP(印刷プレビュー!$X28,データシート!$B$70:AD461,9,FALSE))</f>
        <v/>
      </c>
      <c r="K19" s="37" t="str">
        <f>IF(印刷プレビュー!$X28="","",VLOOKUP(印刷プレビュー!$X28,データシート!$B$70:AE461,10,FALSE))</f>
        <v/>
      </c>
      <c r="L19" s="29" t="str">
        <f>IF(印刷プレビュー!$X28="","",VLOOKUP(印刷プレビュー!$X28,データシート!$B$70:AF461,11,FALSE))</f>
        <v/>
      </c>
      <c r="M19" s="37" t="str">
        <f>IF(印刷プレビュー!$X28="","",VLOOKUP(印刷プレビュー!$X28,データシート!$B$70:AG461,12,FALSE))</f>
        <v/>
      </c>
      <c r="N19" s="37" t="str">
        <f>IF(印刷プレビュー!$X28="","",VLOOKUP(印刷プレビュー!$X28,データシート!$B$70:AH461,13,FALSE))</f>
        <v/>
      </c>
      <c r="O19" s="37" t="str">
        <f>IF(印刷プレビュー!$X28="","",VLOOKUP(印刷プレビュー!$X28,データシート!$B$70:AI461,14,FALSE))</f>
        <v/>
      </c>
      <c r="P19" s="29" t="str">
        <f>IF(印刷プレビュー!$X28="","",VLOOKUP(印刷プレビュー!$X28,データシート!$B$70:AJ461,15,FALSE))</f>
        <v/>
      </c>
      <c r="Q19" s="37" t="str">
        <f>IF(印刷プレビュー!$X28="","",VLOOKUP(印刷プレビュー!$X28,データシート!$B$70:AK461,16,FALSE))</f>
        <v/>
      </c>
      <c r="R19" s="74" t="str">
        <f>IF(印刷プレビュー!$X28="","",VLOOKUP(印刷プレビュー!$X28,データシート!$B$70:AL461,17,FALSE))</f>
        <v/>
      </c>
      <c r="S19" s="37" t="str">
        <f>IF(印刷プレビュー!$X28="","",VLOOKUP(印刷プレビュー!$X28,データシート!$B$70:AM461,18,FALSE))</f>
        <v/>
      </c>
      <c r="T19" s="37" t="str">
        <f>IF(印刷プレビュー!$X28="","",VLOOKUP(印刷プレビュー!$X28,データシート!$B$70:AN461,19,FALSE))</f>
        <v/>
      </c>
      <c r="U19" s="37" t="str">
        <f>IF(印刷プレビュー!$X28="","",VLOOKUP(印刷プレビュー!$X28,データシート!$B$70:AO461,20,FALSE))</f>
        <v/>
      </c>
      <c r="V19" s="37" t="str">
        <f>IF(印刷プレビュー!$X28="","",VLOOKUP(印刷プレビュー!$X28,データシート!$B$70:AP461,21,FALSE))</f>
        <v/>
      </c>
      <c r="W19" s="37" t="str">
        <f>IF(印刷プレビュー!$X28="","",VLOOKUP(印刷プレビュー!$X28,データシート!$B$70:AP461,22,FALSE))</f>
        <v/>
      </c>
    </row>
    <row r="20" spans="1:28">
      <c r="B20" s="182"/>
      <c r="C20" s="182"/>
      <c r="D20" s="37" t="str">
        <f>IF(印刷プレビュー!$X27="","",VLOOKUP(印刷プレビュー!$X27,データシート!$B$70:X461,3,FALSE))</f>
        <v/>
      </c>
      <c r="P20" s="36"/>
      <c r="X20" s="29"/>
      <c r="Y20" s="29"/>
    </row>
    <row r="21" spans="1:28">
      <c r="D21" s="37" t="str">
        <f>IF(D16="","",D16)</f>
        <v/>
      </c>
      <c r="E21" s="36" t="s">
        <v>93</v>
      </c>
      <c r="F21" s="37" t="str">
        <f>IF(F16="","",IF(F17="",F16,IF(F18="",F17,IF(F19="",F18,F19))))</f>
        <v/>
      </c>
      <c r="G21" s="36" t="s">
        <v>94</v>
      </c>
      <c r="H21" s="37" t="str">
        <f>$H$6</f>
        <v/>
      </c>
      <c r="I21" s="37" t="str">
        <f>IF(T16="","",I16)</f>
        <v/>
      </c>
      <c r="J21" s="37" t="str">
        <f>IF(印刷プレビュー!Y22="YES","本    社",IF(AND(J16&lt;&gt;"",J17=""),J16,IF(AND(J17&lt;&gt;"",J18=""),J17,IF(AND(J18&lt;&gt;"",J19=""),J18,J19))))</f>
        <v/>
      </c>
      <c r="K21" s="37" t="str">
        <f>IF(K16="","",IF(K17="",K16,IF(K18="",K17,IF(K19="",K18,K19))))</f>
        <v/>
      </c>
      <c r="L21" s="26" t="str">
        <f>IF(AND(L16=L17,L16=L18,L16=L19),L16,IF(AND(L16=L17,L16=L18),L16&amp;"    "&amp;L19,IF(L16=L17,L16&amp;"    "&amp;L18,L16&amp;"    "&amp;L17)))</f>
        <v/>
      </c>
      <c r="M21" s="37" t="str">
        <f>IF(M16="","",M16)</f>
        <v/>
      </c>
      <c r="N21" s="37" t="str">
        <f>IF(N16="","",IF(N17="",N16,IF(N18="",N17,IF(N19="",N18,N19))))</f>
        <v/>
      </c>
      <c r="O21" s="37" t="str">
        <f>IF(O16="","",IF(O17="",O16+印刷プレビュー!AA27,IF(O18="",O16+O17+印刷プレビュー!AA27,IF(O19="",O16+O17+O18+印刷プレビュー!AA27,O16+O17+O18+O19+印刷プレビュー!AA27))))</f>
        <v/>
      </c>
      <c r="P21" s="38">
        <f>SUM(P16:P19)+印刷プレビュー!AB28</f>
        <v>0</v>
      </c>
      <c r="Q21" s="37" t="str">
        <f>IF(Q16="","",IF(Q17="",Q16,IF(Q18="",Q16+Q17,IF(Q19="",Q16+Q17+Q18,Q16+Q17+Q18+Q19))))</f>
        <v/>
      </c>
      <c r="R21" s="74" t="str">
        <f>IF(R16="","0:0",IF(R17="",R16,IF(R18="",R16+R17,IF(R19="",R16+R17+R18,R16+R17+R18+R19))))</f>
        <v>0:0</v>
      </c>
      <c r="U21" s="37" t="str">
        <f>IF(OR(W16="B",W16="B2"),IF(U16&lt;F11,F21,F11),"0:00")</f>
        <v>0:00</v>
      </c>
      <c r="V21" s="37" t="str">
        <f>IF(OR(W16="B",W16="B2"),IF(V16&lt;F16,D13,D16),"0:00")</f>
        <v>0:00</v>
      </c>
      <c r="W21" t="str">
        <f>IF(W16="B"," ",IF(OR(W16="B2",V16="10:41"),"",""))</f>
        <v/>
      </c>
      <c r="X21" s="37" t="str">
        <f>IF(W16&lt;&gt;"",IF(AND(R21&gt;データシート!$K$65,R21&lt;データシート!$K$66),R21,VALUE(F21)-VALUE(D21)),"0:00")</f>
        <v>0:00</v>
      </c>
      <c r="Y21" s="37" t="str">
        <f>IF(OR(W16="K",W16="K2",W16="T"),Q21+印刷プレビュー!AA28,"0:00")</f>
        <v>0:00</v>
      </c>
      <c r="Z21" s="37" t="str">
        <f>IF(OR(W16="",W16="K",W16="K2",W16="K2",W16="T",W16="B",W16="B2"),"0:00",IF(AND(W16="Y1",$D$11&gt;データシート!$P$61-データシート!$P$64),($D$11-D21)-データシート!$Q$61,IF(AND(W16="Y1",$D$11&lt;データシート!$P$61-データシート!$P$64,$D$11&gt;データシート!$O$61+データシート!$P$64),$D$11-D21-($D$11-データシート!$O$61)-データシート!$R$61,IF(AND(W16="Y1",$D$11&gt;データシート!$N$61-データシート!$P$64),$D$11-D21-データシート!$R$61,IF(AND(W16="Y1",$D$11&lt;データシート!$N$61-データシート!$P$64,$D$11&gt;データシート!$M$61+データシート!$P$64),$D$11-D21-($D$11-データシート!$M$61),IF(AND(W16="Y2",$D$11&gt;データシート!$P$62-データシート!$P$64),$D$11-D21-データシート!$Q$62,IF(AND(W16="Y2",$D$11&lt;データシート!$P$62-データシート!$P$64,$D$11&gt;データシート!$O$62+データシート!$P$64),$D$11-D21-($D$11-データシート!$O$62)-データシート!$R$62,IF(AND(W16="Y2",$D$11&gt;データシート!$N$62-データシート!$P$64),$D$11-D21-データシート!$R$62,IF(AND(W16="Y2",$D$11&lt;データシート!$N$62-データシート!$P$64,$D$11&gt;データシート!$M$62+データシート!$P$64),$D$11-D21-($D$11-データシート!$M$62),IF(AND(W16="Y4",D21&gt;データシート!$N$63-データシート!$P$64),F21-F11,IF(AND(W16="Y4",D21&lt;データシート!$N$63-データシート!$P$64,D21&gt;データシート!$M$63+データシート!$P$64),F21-F11-(データシート!$N$63-D21),IF(AND(W16="Y4",D21&lt;データシート!$M$63+データシート!$P$64),F21-F11-データシート!$R$63,IF(AND(W16="Y5",D21&gt;データシート!$N$64-データシート!$P$64),F21-F11,IF(AND(W16="Y5",D21&lt;データシート!$N$64-データシート!$P$64,D21&gt;データシート!$M$64+データシート!$P$64),F21-F11-(データシート!$N$64-D21),IF(AND(W16="Y5",D21&lt;データシート!$M$64+データシート!$P$64),F21-F11-データシート!$R$64,)))))))))))))))</f>
        <v>0:00</v>
      </c>
      <c r="AA21" s="37" t="str">
        <f>IF(OR(W16="B",W16="B2"),Q16,"0:00")</f>
        <v>0:00</v>
      </c>
      <c r="AB21" s="37" t="str">
        <f>IF(OR(W16="B",W16="B2"),"","")</f>
        <v/>
      </c>
    </row>
    <row r="22" spans="1:28">
      <c r="D22" s="37"/>
      <c r="I22" s="36" t="s">
        <v>95</v>
      </c>
      <c r="K22" s="36" t="s">
        <v>96</v>
      </c>
      <c r="M22" s="36" t="s">
        <v>95</v>
      </c>
      <c r="N22" s="36" t="s">
        <v>96</v>
      </c>
      <c r="Y22" s="36"/>
    </row>
    <row r="23" spans="1:28">
      <c r="D23" s="37"/>
      <c r="Y23" s="36"/>
    </row>
    <row r="24" spans="1:28">
      <c r="A24" t="s">
        <v>102</v>
      </c>
      <c r="B24" s="2"/>
      <c r="D24" s="37"/>
    </row>
    <row r="25" spans="1:28">
      <c r="B25" s="26" t="s">
        <v>30</v>
      </c>
      <c r="C25" s="26" t="s">
        <v>47</v>
      </c>
      <c r="D25" s="36" t="s">
        <v>29</v>
      </c>
      <c r="E25" s="36" t="s">
        <v>28</v>
      </c>
      <c r="F25" s="36" t="s">
        <v>2</v>
      </c>
      <c r="G25" s="36" t="s">
        <v>28</v>
      </c>
      <c r="H25" s="15" t="s">
        <v>32</v>
      </c>
      <c r="I25" s="36" t="s">
        <v>34</v>
      </c>
      <c r="J25" s="36" t="s">
        <v>33</v>
      </c>
      <c r="K25" s="36" t="s">
        <v>35</v>
      </c>
      <c r="L25" t="s">
        <v>36</v>
      </c>
      <c r="M25" s="36" t="s">
        <v>38</v>
      </c>
      <c r="N25" s="36" t="s">
        <v>39</v>
      </c>
      <c r="O25" s="36" t="s">
        <v>40</v>
      </c>
      <c r="P25" t="s">
        <v>41</v>
      </c>
      <c r="Q25" s="36" t="s">
        <v>51</v>
      </c>
      <c r="R25" s="89" t="s">
        <v>180</v>
      </c>
      <c r="S25" s="36" t="s">
        <v>42</v>
      </c>
      <c r="T25" s="36" t="s">
        <v>43</v>
      </c>
      <c r="U25" s="36" t="s">
        <v>44</v>
      </c>
      <c r="V25" s="36" t="s">
        <v>45</v>
      </c>
    </row>
    <row r="26" spans="1:28">
      <c r="B26" s="179" t="str">
        <f>IF(印刷プレビュー!X35="","",印刷プレビュー!X35)</f>
        <v/>
      </c>
      <c r="C26" s="179"/>
      <c r="D26" s="37" t="str">
        <f>IF(OR(W26="Y4",W26="Y5"),F21,IF(印刷プレビュー!$X35="","",VLOOKUP(印刷プレビュー!$X35,データシート!$B$70:$X$463,3,FALSE)))</f>
        <v/>
      </c>
      <c r="E26" s="37" t="str">
        <f>IF(OR(W26="Y4",W26="Y5"),F21,IF(印刷プレビュー!$X35="","",VLOOKUP(印刷プレビュー!$X35,データシート!$B$70:$X$463,3,FALSE)))</f>
        <v/>
      </c>
      <c r="F26" s="37" t="str">
        <f>IF(印刷プレビュー!$X35="","",VLOOKUP(印刷プレビュー!$X35,データシート!$B$70:$X$463,5,FALSE))</f>
        <v/>
      </c>
      <c r="G26" s="37" t="str">
        <f>IF(印刷プレビュー!$X35="","",VLOOKUP(印刷プレビュー!$X35,データシート!$B$70:$X$463,6,FALSE))</f>
        <v/>
      </c>
      <c r="H26" s="37" t="str">
        <f>IF(印刷プレビュー!Y33="YES","本    社",IF(印刷プレビュー!$X35="","",VLOOKUP(印刷プレビュー!$X35,データシート!$B$70:$X$463,7,FALSE)))</f>
        <v/>
      </c>
      <c r="I26" s="37" t="str">
        <f>IF(印刷プレビュー!$X35="","",VLOOKUP(印刷プレビュー!$X35,データシート!$B$70:$X$463,8,FALSE))</f>
        <v/>
      </c>
      <c r="J26" s="37" t="str">
        <f>IF(印刷プレビュー!$X35="","",VLOOKUP(印刷プレビュー!$X35,データシート!$B$70:$X$463,9,FALSE))</f>
        <v/>
      </c>
      <c r="K26" s="37" t="str">
        <f>IF(印刷プレビュー!$X35="","",VLOOKUP(印刷プレビュー!$X35,データシート!$B$70:$X$463,10,FALSE))</f>
        <v/>
      </c>
      <c r="L26" s="29" t="str">
        <f>IF(印刷プレビュー!$X35="","",VLOOKUP(印刷プレビュー!$X35,データシート!$B$70:$X$463,11,FALSE))</f>
        <v/>
      </c>
      <c r="M26" s="37" t="str">
        <f>IF(OR(W26="Y4",W26="Y5"),F21,IF(印刷プレビュー!$X35="","",VLOOKUP(印刷プレビュー!$X35,データシート!$B$70:$X$463,12,FALSE)))</f>
        <v/>
      </c>
      <c r="N26" s="37" t="str">
        <f>IF(印刷プレビュー!$X35="","",VLOOKUP(印刷プレビュー!$X35,データシート!$B$70:$X$463,13,FALSE))</f>
        <v/>
      </c>
      <c r="O26" s="37" t="str">
        <f>IF(印刷プレビュー!$X35="","",VLOOKUP(印刷プレビュー!$X35,データシート!$B$70:$X$463,14,FALSE))</f>
        <v/>
      </c>
      <c r="P26" s="29" t="str">
        <f>IF(印刷プレビュー!$X35="","",VLOOKUP(印刷プレビュー!$X35,データシート!$B$70:$X$463,15,FALSE))</f>
        <v/>
      </c>
      <c r="Q26" s="37" t="str">
        <f>IF(印刷プレビュー!$X35="","",VLOOKUP(印刷プレビュー!$X35,データシート!$B$70:$X$463,16,FALSE))</f>
        <v/>
      </c>
      <c r="R26" s="74" t="str">
        <f>IF(印刷プレビュー!$X35="","",VLOOKUP(印刷プレビュー!$X35,データシート!$B$70:$X$463,17,FALSE))</f>
        <v/>
      </c>
      <c r="S26" s="37" t="str">
        <f>IF(印刷プレビュー!$X35="","",VLOOKUP(印刷プレビュー!$X35,データシート!$B$70:$X$463,18,FALSE))</f>
        <v/>
      </c>
      <c r="T26" s="37" t="str">
        <f>IF(印刷プレビュー!$X35="","",VLOOKUP(印刷プレビュー!$X35,データシート!$B$70:$X$463,19,FALSE))</f>
        <v/>
      </c>
      <c r="U26" s="37" t="str">
        <f>IF(印刷プレビュー!$X35="","",VLOOKUP(印刷プレビュー!$X35,データシート!$B$70:$X$463,20,FALSE))</f>
        <v/>
      </c>
      <c r="V26" s="37" t="str">
        <f>IF(印刷プレビュー!$X35="","",VLOOKUP(印刷プレビュー!$X35,データシート!$B$70:$X$463,21,FALSE))</f>
        <v/>
      </c>
      <c r="W26" s="37" t="str">
        <f>IF(印刷プレビュー!$X35="","",VLOOKUP(印刷プレビュー!$X35,データシート!$B$70:$X$463,22,FALSE))</f>
        <v/>
      </c>
    </row>
    <row r="27" spans="1:28">
      <c r="B27" s="179" t="str">
        <f>IF(印刷プレビュー!X36="","",印刷プレビュー!X36)</f>
        <v/>
      </c>
      <c r="C27" s="179"/>
      <c r="D27" s="37" t="str">
        <f>IF(印刷プレビュー!$X36="","",VLOOKUP(印刷プレビュー!$X36,データシート!$B$70:X465,3,FALSE))</f>
        <v/>
      </c>
      <c r="E27" s="37" t="str">
        <f>IF(印刷プレビュー!$X36="","",VLOOKUP(印刷プレビュー!$X36,データシート!$B$70:Y461,4,FALSE))</f>
        <v/>
      </c>
      <c r="F27" s="37" t="str">
        <f>IF(印刷プレビュー!$X36="","",VLOOKUP(印刷プレビュー!$X36,データシート!$B$70:Z461,5,FALSE))</f>
        <v/>
      </c>
      <c r="G27" s="37" t="str">
        <f>IF(印刷プレビュー!$X36="","",VLOOKUP(印刷プレビュー!$X36,データシート!$B$70:AA461,6,FALSE))</f>
        <v/>
      </c>
      <c r="H27" s="37" t="str">
        <f>IF(印刷プレビュー!$X36="","",VLOOKUP(印刷プレビュー!$X36,データシート!$B$70:AB461,7,FALSE))</f>
        <v/>
      </c>
      <c r="I27" s="37" t="str">
        <f>IF(印刷プレビュー!$X36="","",VLOOKUP(印刷プレビュー!$X36,データシート!$B$70:AC461,8,FALSE))</f>
        <v/>
      </c>
      <c r="J27" s="37" t="str">
        <f>IF(印刷プレビュー!$X36="","",VLOOKUP(印刷プレビュー!$X36,データシート!$B$70:AD461,9,FALSE))</f>
        <v/>
      </c>
      <c r="K27" s="37" t="str">
        <f>IF(印刷プレビュー!$X36="","",VLOOKUP(印刷プレビュー!$X36,データシート!$B$70:AE461,10,FALSE))</f>
        <v/>
      </c>
      <c r="L27" s="29" t="str">
        <f>IF(印刷プレビュー!$X36="","",VLOOKUP(印刷プレビュー!$X36,データシート!$B$70:AF461,11,FALSE))</f>
        <v/>
      </c>
      <c r="M27" s="37" t="str">
        <f>IF(印刷プレビュー!$X36="","",VLOOKUP(印刷プレビュー!$X36,データシート!$B$70:AG461,12,FALSE))</f>
        <v/>
      </c>
      <c r="N27" s="37" t="str">
        <f>IF(印刷プレビュー!$X36="","",VLOOKUP(印刷プレビュー!$X36,データシート!$B$70:AH461,13,FALSE))</f>
        <v/>
      </c>
      <c r="O27" s="37" t="str">
        <f>IF(印刷プレビュー!$X36="","",VLOOKUP(印刷プレビュー!$X36,データシート!$B$70:AI461,14,FALSE))</f>
        <v/>
      </c>
      <c r="P27" s="29" t="str">
        <f>IF(印刷プレビュー!$X36="","",VLOOKUP(印刷プレビュー!$X36,データシート!$B$70:AJ461,15,FALSE))</f>
        <v/>
      </c>
      <c r="Q27" s="37" t="str">
        <f>IF(印刷プレビュー!$X36="","",VLOOKUP(印刷プレビュー!$X36,データシート!$B$70:AK461,16,FALSE))</f>
        <v/>
      </c>
      <c r="R27" s="74" t="str">
        <f>IF(印刷プレビュー!$X36="","",VLOOKUP(印刷プレビュー!$X36,データシート!$B$70:AL461,17,FALSE))</f>
        <v/>
      </c>
      <c r="S27" s="37" t="str">
        <f>IF(印刷プレビュー!$X36="","",VLOOKUP(印刷プレビュー!$X36,データシート!$B$70:AM461,18,FALSE))</f>
        <v/>
      </c>
      <c r="T27" s="37" t="str">
        <f>IF(印刷プレビュー!$X36="","",VLOOKUP(印刷プレビュー!$X36,データシート!$B$70:AN461,19,FALSE))</f>
        <v/>
      </c>
      <c r="U27" s="37" t="str">
        <f>IF(印刷プレビュー!$X36="","",VLOOKUP(印刷プレビュー!$X36,データシート!$B$70:AO461,20,FALSE))</f>
        <v/>
      </c>
      <c r="V27" s="37" t="str">
        <f>IF(印刷プレビュー!$X36="","",VLOOKUP(印刷プレビュー!$X36,データシート!$B$70:AP461,21,FALSE))</f>
        <v/>
      </c>
      <c r="W27" s="37" t="str">
        <f>IF(印刷プレビュー!$X36="","",VLOOKUP(印刷プレビュー!$X36,データシート!$B$70:AP461,22,FALSE))</f>
        <v/>
      </c>
    </row>
    <row r="28" spans="1:28">
      <c r="B28" s="179" t="str">
        <f>IF(印刷プレビュー!X37="","",印刷プレビュー!X37)</f>
        <v/>
      </c>
      <c r="C28" s="179"/>
      <c r="D28" s="37" t="str">
        <f>IF(印刷プレビュー!$X37="","",VLOOKUP(印刷プレビュー!$X37,データシート!$B$70:X466,3,FALSE))</f>
        <v/>
      </c>
      <c r="E28" s="37" t="str">
        <f>IF(印刷プレビュー!$X37="","",VLOOKUP(印刷プレビュー!$X37,データシート!$B$70:Y461,4,FALSE))</f>
        <v/>
      </c>
      <c r="F28" s="37" t="str">
        <f>IF(印刷プレビュー!$X37="","",VLOOKUP(印刷プレビュー!$X37,データシート!$B$70:Z461,5,FALSE))</f>
        <v/>
      </c>
      <c r="G28" s="37" t="str">
        <f>IF(印刷プレビュー!$X37="","",VLOOKUP(印刷プレビュー!$X37,データシート!$B$70:AA461,6,FALSE))</f>
        <v/>
      </c>
      <c r="H28" s="37" t="str">
        <f>IF(印刷プレビュー!$X37="","",VLOOKUP(印刷プレビュー!$X37,データシート!$B$70:AB461,7,FALSE))</f>
        <v/>
      </c>
      <c r="I28" s="37" t="str">
        <f>IF(印刷プレビュー!$X37="","",VLOOKUP(印刷プレビュー!$X37,データシート!$B$70:AC461,8,FALSE))</f>
        <v/>
      </c>
      <c r="J28" s="37" t="str">
        <f>IF(印刷プレビュー!$X37="","",VLOOKUP(印刷プレビュー!$X37,データシート!$B$70:AD461,9,FALSE))</f>
        <v/>
      </c>
      <c r="K28" s="37" t="str">
        <f>IF(印刷プレビュー!$X37="","",VLOOKUP(印刷プレビュー!$X37,データシート!$B$70:AE461,10,FALSE))</f>
        <v/>
      </c>
      <c r="L28" s="29" t="str">
        <f>IF(印刷プレビュー!$X37="","",VLOOKUP(印刷プレビュー!$X37,データシート!$B$70:AF461,11,FALSE))</f>
        <v/>
      </c>
      <c r="M28" s="37" t="str">
        <f>IF(印刷プレビュー!$X37="","",VLOOKUP(印刷プレビュー!$X37,データシート!$B$70:AG461,12,FALSE))</f>
        <v/>
      </c>
      <c r="N28" s="37" t="str">
        <f>IF(印刷プレビュー!$X37="","",VLOOKUP(印刷プレビュー!$X37,データシート!$B$70:AH461,13,FALSE))</f>
        <v/>
      </c>
      <c r="O28" s="37" t="str">
        <f>IF(印刷プレビュー!$X37="","",VLOOKUP(印刷プレビュー!$X37,データシート!$B$70:AI461,14,FALSE))</f>
        <v/>
      </c>
      <c r="P28" s="29" t="str">
        <f>IF(印刷プレビュー!$X37="","",VLOOKUP(印刷プレビュー!$X37,データシート!$B$70:AJ461,15,FALSE))</f>
        <v/>
      </c>
      <c r="Q28" s="37" t="str">
        <f>IF(印刷プレビュー!$X37="","",VLOOKUP(印刷プレビュー!$X37,データシート!$B$70:AK461,16,FALSE))</f>
        <v/>
      </c>
      <c r="R28" s="74" t="str">
        <f>IF(印刷プレビュー!$X37="","",VLOOKUP(印刷プレビュー!$X37,データシート!$B$70:AL461,17,FALSE))</f>
        <v/>
      </c>
      <c r="S28" s="37" t="str">
        <f>IF(印刷プレビュー!$X37="","",VLOOKUP(印刷プレビュー!$X37,データシート!$B$70:AM461,18,FALSE))</f>
        <v/>
      </c>
      <c r="T28" s="37" t="str">
        <f>IF(印刷プレビュー!$X37="","",VLOOKUP(印刷プレビュー!$X37,データシート!$B$70:AN461,19,FALSE))</f>
        <v/>
      </c>
      <c r="U28" s="37" t="str">
        <f>IF(印刷プレビュー!$X37="","",VLOOKUP(印刷プレビュー!$X37,データシート!$B$70:AO461,20,FALSE))</f>
        <v/>
      </c>
      <c r="V28" s="37" t="str">
        <f>IF(印刷プレビュー!$X37="","",VLOOKUP(印刷プレビュー!$X37,データシート!$B$70:AP461,21,FALSE))</f>
        <v/>
      </c>
      <c r="W28" s="37" t="str">
        <f>IF(印刷プレビュー!$X37="","",VLOOKUP(印刷プレビュー!$X37,データシート!$B$70:AP461,22,FALSE))</f>
        <v/>
      </c>
    </row>
    <row r="29" spans="1:28">
      <c r="B29" s="179" t="str">
        <f>IF(印刷プレビュー!X38="","",印刷プレビュー!X38)</f>
        <v/>
      </c>
      <c r="C29" s="179"/>
      <c r="D29" s="37" t="str">
        <f>IF(印刷プレビュー!$X38="","",VLOOKUP(印刷プレビュー!$X38,データシート!$B$70:X467,3,FALSE))</f>
        <v/>
      </c>
      <c r="E29" s="37" t="str">
        <f>IF(印刷プレビュー!$X38="","",VLOOKUP(印刷プレビュー!$X38,データシート!$B$70:Y461,4,FALSE))</f>
        <v/>
      </c>
      <c r="F29" s="37" t="str">
        <f>IF(印刷プレビュー!$X38="","",VLOOKUP(印刷プレビュー!$X38,データシート!$B$70:Z461,5,FALSE))</f>
        <v/>
      </c>
      <c r="G29" s="37" t="str">
        <f>IF(印刷プレビュー!$X38="","",VLOOKUP(印刷プレビュー!$X38,データシート!$B$70:AA461,6,FALSE))</f>
        <v/>
      </c>
      <c r="H29" s="37" t="str">
        <f>IF(印刷プレビュー!$X38="","",VLOOKUP(印刷プレビュー!$X38,データシート!$B$70:AB461,7,FALSE))</f>
        <v/>
      </c>
      <c r="I29" s="37" t="str">
        <f>IF(印刷プレビュー!$X38="","",VLOOKUP(印刷プレビュー!$X38,データシート!$B$70:AC461,8,FALSE))</f>
        <v/>
      </c>
      <c r="J29" s="37" t="str">
        <f>IF(印刷プレビュー!$X38="","",VLOOKUP(印刷プレビュー!$X38,データシート!$B$70:AD461,9,FALSE))</f>
        <v/>
      </c>
      <c r="K29" s="37" t="str">
        <f>IF(印刷プレビュー!$X38="","",VLOOKUP(印刷プレビュー!$X38,データシート!$B$70:AE461,10,FALSE))</f>
        <v/>
      </c>
      <c r="L29" s="29" t="str">
        <f>IF(印刷プレビュー!$X38="","",VLOOKUP(印刷プレビュー!$X38,データシート!$B$70:AF461,11,FALSE))</f>
        <v/>
      </c>
      <c r="M29" s="37" t="str">
        <f>IF(印刷プレビュー!$X38="","",VLOOKUP(印刷プレビュー!$X38,データシート!$B$70:AG461,12,FALSE))</f>
        <v/>
      </c>
      <c r="N29" s="37" t="str">
        <f>IF(印刷プレビュー!$X38="","",VLOOKUP(印刷プレビュー!$X38,データシート!$B$70:AH461,13,FALSE))</f>
        <v/>
      </c>
      <c r="O29" s="37" t="str">
        <f>IF(印刷プレビュー!$X38="","",VLOOKUP(印刷プレビュー!$X38,データシート!$B$70:AI461,14,FALSE))</f>
        <v/>
      </c>
      <c r="P29" s="29" t="str">
        <f>IF(印刷プレビュー!$X38="","",VLOOKUP(印刷プレビュー!$X38,データシート!$B$70:AJ461,15,FALSE))</f>
        <v/>
      </c>
      <c r="Q29" s="37" t="str">
        <f>IF(印刷プレビュー!$X38="","",VLOOKUP(印刷プレビュー!$X38,データシート!$B$70:AK461,16,FALSE))</f>
        <v/>
      </c>
      <c r="R29" s="74" t="str">
        <f>IF(印刷プレビュー!$X38="","",VLOOKUP(印刷プレビュー!$X38,データシート!$B$70:AL461,17,FALSE))</f>
        <v/>
      </c>
      <c r="S29" s="37" t="str">
        <f>IF(印刷プレビュー!$X38="","",VLOOKUP(印刷プレビュー!$X38,データシート!$B$70:AM461,18,FALSE))</f>
        <v/>
      </c>
      <c r="T29" s="37" t="str">
        <f>IF(印刷プレビュー!$X38="","",VLOOKUP(印刷プレビュー!$X38,データシート!$B$70:AN461,19,FALSE))</f>
        <v/>
      </c>
      <c r="U29" s="37" t="str">
        <f>IF(印刷プレビュー!$X38="","",VLOOKUP(印刷プレビュー!$X38,データシート!$B$70:AO461,20,FALSE))</f>
        <v/>
      </c>
      <c r="V29" s="37" t="str">
        <f>IF(印刷プレビュー!$X38="","",VLOOKUP(印刷プレビュー!$X38,データシート!$B$70:AP461,21,FALSE))</f>
        <v/>
      </c>
      <c r="W29" s="37" t="str">
        <f>IF(印刷プレビュー!$X38="","",VLOOKUP(印刷プレビュー!$X38,データシート!$B$70:AP461,22,FALSE))</f>
        <v/>
      </c>
    </row>
    <row r="30" spans="1:28">
      <c r="B30" s="62"/>
      <c r="C30" s="62"/>
      <c r="D30" s="37"/>
      <c r="E30" s="37"/>
      <c r="F30" s="37"/>
      <c r="G30" s="37"/>
      <c r="H30" s="37"/>
      <c r="I30" s="37"/>
      <c r="J30" s="37"/>
      <c r="K30" s="37"/>
      <c r="L30" s="29"/>
      <c r="M30" s="37"/>
      <c r="N30" s="37"/>
      <c r="O30" s="37"/>
      <c r="P30" s="29"/>
      <c r="Q30" s="37"/>
      <c r="R30" s="74"/>
      <c r="S30" s="37"/>
      <c r="T30" s="37"/>
      <c r="U30" s="37"/>
      <c r="V30" s="37"/>
      <c r="Z30" s="36"/>
    </row>
    <row r="31" spans="1:28">
      <c r="D31" s="37" t="str">
        <f>IF(D26="","",D26)</f>
        <v/>
      </c>
      <c r="E31" s="36" t="s">
        <v>93</v>
      </c>
      <c r="F31" s="37" t="str">
        <f>IF(F26="","",IF(F27="",F26,IF(F28="",F27,IF(F29="",F28,F29))))</f>
        <v/>
      </c>
      <c r="G31" s="36" t="s">
        <v>94</v>
      </c>
      <c r="H31" s="37" t="str">
        <f>$H$6</f>
        <v/>
      </c>
      <c r="I31" s="37" t="str">
        <f>IF(T26="","",I26)</f>
        <v/>
      </c>
      <c r="J31" s="37" t="str">
        <f>IF(印刷プレビュー!Y34="YES","本    社",IF(AND(J26&lt;&gt;"",J27=""),J26,IF(AND(J27&lt;&gt;"",J28=""),J27,IF(AND(J28&lt;&gt;"",J29=""),J28,J29))))</f>
        <v/>
      </c>
      <c r="K31" s="37" t="str">
        <f>IF(K26="","",IF(K27="",K26,IF(K28="",K27,IF(K29="",K28,K29))))</f>
        <v/>
      </c>
      <c r="L31" s="29" t="str">
        <f>IF(AND(L26=L27,L26=L28,L26=L29),L26,IF(AND(L26=L27,L26=L28),L26&amp;"    "&amp;L29,IF(L26=L27,L26&amp;"    "&amp;L28,L26&amp;"    "&amp;L27)))</f>
        <v/>
      </c>
      <c r="M31" s="37" t="str">
        <f>IF(M26="","",M26)</f>
        <v/>
      </c>
      <c r="N31" s="37" t="str">
        <f>IF(N26="","",IF(N27="",N26,IF(N28="",N27,IF(N29="",N28,N29))))</f>
        <v/>
      </c>
      <c r="O31" s="37" t="str">
        <f>IF(O26="","",IF(O27="",O26+印刷プレビュー!AA37,IF(O28="",O26+O27+印刷プレビュー!AA37,IF(O29="",O26+O27+O28+印刷プレビュー!AA37,O26+O27+O28+O29+印刷プレビュー!AA37))))</f>
        <v/>
      </c>
      <c r="P31" s="38">
        <f>SUM(P26:P29)+印刷プレビュー!AB38</f>
        <v>0</v>
      </c>
      <c r="Q31" s="37" t="str">
        <f>IF(Q26="","",IF(Q27="",Q26,IF(Q28="",Q26+Q27,IF(Q29="",Q26+Q27+Q28,Q26+Q27+Q28+Q29))))</f>
        <v/>
      </c>
      <c r="R31" s="74" t="str">
        <f>IF(R26="","0:0",IF(R27="",R26,IF(R28="",R26+R27,IF(R29="",R26+R27+R28,R26+R27+R28+R29))))</f>
        <v>0:0</v>
      </c>
      <c r="U31" s="37" t="str">
        <f>IF(OR(W26="B",W26="B2"),IF(U26&lt;F21,F31,F21),"0:00")</f>
        <v>0:00</v>
      </c>
      <c r="V31" s="37" t="str">
        <f>IF(OR(W26="B",W26="B2"),IF(V26&lt;F26,D23,D26),"0:00")</f>
        <v>0:00</v>
      </c>
      <c r="W31" t="str">
        <f>IF(W26="B"," ",IF(OR(W26="B2",V26="10:41"),"",""))</f>
        <v/>
      </c>
      <c r="X31" s="37" t="str">
        <f>IF(W26&lt;&gt;"",IF(AND(R31&gt;データシート!$K$65,R31&lt;データシート!$K$66),R31,VALUE(F31)-VALUE(D31)),"0:00")</f>
        <v>0:00</v>
      </c>
      <c r="Y31" s="37" t="str">
        <f>IF(OR(W26="K",W26="K2",W26="T"),Q31+印刷プレビュー!AA38,"0:00")</f>
        <v>0:00</v>
      </c>
      <c r="Z31" s="37" t="str">
        <f>IF(OR(W26="",W26="K",W26="K2",W26="K2",W26="T",W26="B",W26="B2"),"0:00",IF(AND(W26="Y1",$D$11&gt;データシート!$P$61-データシート!$P$64),($D$11-D31)-データシート!$Q$61,IF(AND(W26="Y1",$D$11&lt;データシート!$P$61-データシート!$P$64,$D$11&gt;データシート!$O$61+データシート!$P$64),$D$11-D31-($D$11-データシート!$O$61)-データシート!$R$61,IF(AND(W26="Y1",$D$11&gt;データシート!$N$61-データシート!$P$64),$D$11-D31-データシート!$R$61,IF(AND(W26="Y1",$D$11&lt;データシート!$N$61-データシート!$P$64,$D$11&gt;データシート!$M$61+データシート!$P$64),$D$11-D31-($D$11-データシート!$M$61),IF(AND(W26="Y2",$D$11&gt;データシート!$P$62-データシート!$P$64),$D$11-D31-データシート!$Q$62,IF(AND(W26="Y2",$D$11&lt;データシート!$P$62-データシート!$P$64,$D$11&gt;データシート!$O$62+データシート!$P$64),$D$11-D31-($D$11-データシート!$O$62)-データシート!$R$62,IF(AND(W26="Y2",$D$11&gt;データシート!$N$62-データシート!$P$64),$D$11-D31-データシート!$R$62,IF(AND(W26="Y2",$D$11&lt;データシート!$N$62-データシート!$P$64,$D$11&gt;データシート!$M$62+データシート!$P$64),$D$11-D31-($D$11-データシート!$M$62),IF(AND(W26="Y4",D31&gt;データシート!$N$63-データシート!$P$64),F31-F21,IF(AND(W26="Y4",D31&lt;データシート!$N$63-データシート!$P$64,D31&gt;データシート!$M$63+データシート!$P$64),F31-F21-(データシート!$N$63-D31),IF(AND(W26="Y4",D31&lt;データシート!$M$63+データシート!$P$64),F31-F21-データシート!$R$63,IF(AND(W26="Y5",D31&gt;データシート!$N$64-データシート!$P$64),F31-F21,IF(AND(W26="Y5",D31&lt;データシート!$N$64-データシート!$P$64,D31&gt;データシート!$M$64+データシート!$P$64),F31-F21-(データシート!$N$64-D31),IF(AND(W26="Y5",D31&lt;データシート!$M$64+データシート!$P$64),F31-F21-データシート!$R$64,)))))))))))))))</f>
        <v>0:00</v>
      </c>
      <c r="AA31" s="37" t="str">
        <f>IF(OR(W26="B",W26="B2"),Q26,"0:00")</f>
        <v>0:00</v>
      </c>
      <c r="AB31" s="37" t="str">
        <f>IF(OR(W26="B",W26="B2"),"","")</f>
        <v/>
      </c>
    </row>
    <row r="32" spans="1:28">
      <c r="D32" s="37"/>
      <c r="I32" s="36" t="s">
        <v>95</v>
      </c>
      <c r="K32" s="36" t="s">
        <v>96</v>
      </c>
      <c r="M32" s="36" t="s">
        <v>95</v>
      </c>
      <c r="N32" s="36" t="s">
        <v>96</v>
      </c>
    </row>
    <row r="33" spans="1:32">
      <c r="D33" s="37"/>
    </row>
    <row r="34" spans="1:32">
      <c r="A34" t="s">
        <v>103</v>
      </c>
      <c r="D34" s="37"/>
    </row>
    <row r="35" spans="1:32">
      <c r="B35" s="26" t="s">
        <v>30</v>
      </c>
      <c r="C35" s="26" t="s">
        <v>47</v>
      </c>
      <c r="D35" s="36" t="s">
        <v>29</v>
      </c>
      <c r="E35" s="36" t="s">
        <v>28</v>
      </c>
      <c r="F35" s="36" t="s">
        <v>2</v>
      </c>
      <c r="G35" s="36" t="s">
        <v>28</v>
      </c>
      <c r="H35" s="15" t="s">
        <v>32</v>
      </c>
      <c r="I35" s="36" t="s">
        <v>34</v>
      </c>
      <c r="J35" s="36" t="s">
        <v>33</v>
      </c>
      <c r="K35" s="36" t="s">
        <v>35</v>
      </c>
      <c r="L35" t="s">
        <v>36</v>
      </c>
      <c r="M35" s="36" t="s">
        <v>38</v>
      </c>
      <c r="N35" s="36" t="s">
        <v>39</v>
      </c>
      <c r="O35" s="36" t="s">
        <v>40</v>
      </c>
      <c r="P35" t="s">
        <v>41</v>
      </c>
      <c r="Q35" s="36" t="s">
        <v>51</v>
      </c>
      <c r="R35" s="89" t="s">
        <v>180</v>
      </c>
      <c r="S35" s="36" t="s">
        <v>42</v>
      </c>
      <c r="T35" s="36" t="s">
        <v>43</v>
      </c>
      <c r="U35" s="36" t="s">
        <v>44</v>
      </c>
      <c r="V35" s="36" t="s">
        <v>45</v>
      </c>
    </row>
    <row r="36" spans="1:32">
      <c r="B36" s="179" t="str">
        <f>IF(印刷プレビュー!X43="","",印刷プレビュー!X43)</f>
        <v/>
      </c>
      <c r="C36" s="179"/>
      <c r="D36" s="37" t="str">
        <f>IF(OR(W36="Y4",W36="Y5"),F31,IF(印刷プレビュー!$X43="","",VLOOKUP(印刷プレビュー!$X43,データシート!$B$70:$X$463,3,FALSE)))</f>
        <v/>
      </c>
      <c r="E36" s="37" t="str">
        <f>IF(印刷プレビュー!$X43="","",VLOOKUP(印刷プレビュー!$X43,データシート!$B$70:$X$463,4,FALSE))</f>
        <v/>
      </c>
      <c r="F36" s="37" t="str">
        <f>IF(印刷プレビュー!$X43="","",VLOOKUP(印刷プレビュー!$X43,データシート!$B$70:$X$463,5,FALSE))</f>
        <v/>
      </c>
      <c r="G36" s="37" t="str">
        <f>IF(印刷プレビュー!$X43="","",VLOOKUP(印刷プレビュー!$X43,データシート!$B$70:$X$463,6,FALSE))</f>
        <v/>
      </c>
      <c r="H36" s="37" t="str">
        <f>IF(印刷プレビュー!Y41="YES","本    社",IF(印刷プレビュー!$X43="","",VLOOKUP(印刷プレビュー!$X43,データシート!$B$70:$X$463,7,FALSE)))</f>
        <v/>
      </c>
      <c r="I36" s="37" t="str">
        <f>IF(印刷プレビュー!$X43="","",VLOOKUP(印刷プレビュー!$X43,データシート!$B$70:$X$463,8,FALSE))</f>
        <v/>
      </c>
      <c r="J36" s="37" t="str">
        <f>IF(印刷プレビュー!$X43="","",VLOOKUP(印刷プレビュー!$X43,データシート!$B$70:$X$463,9,FALSE))</f>
        <v/>
      </c>
      <c r="K36" s="37" t="str">
        <f>IF(印刷プレビュー!$X43="","",VLOOKUP(印刷プレビュー!$X43,データシート!$B$70:$X$463,10,FALSE))</f>
        <v/>
      </c>
      <c r="L36" s="29" t="str">
        <f>IF(印刷プレビュー!$X43="","",VLOOKUP(印刷プレビュー!$X43,データシート!$B$70:$X$463,11,FALSE))</f>
        <v/>
      </c>
      <c r="M36" s="37" t="str">
        <f>IF(OR(W36="Y4",W36="Y5"),F31,IF(印刷プレビュー!$X43="","",VLOOKUP(印刷プレビュー!$X43,データシート!$B$70:$X$463,12,FALSE)))</f>
        <v/>
      </c>
      <c r="N36" s="37" t="str">
        <f>IF(印刷プレビュー!$X43="","",VLOOKUP(印刷プレビュー!$X43,データシート!$B$70:$X$463,13,FALSE))</f>
        <v/>
      </c>
      <c r="O36" s="37" t="str">
        <f>IF(印刷プレビュー!$X43="","",VLOOKUP(印刷プレビュー!$X43,データシート!$B$70:$X$463,14,FALSE))</f>
        <v/>
      </c>
      <c r="P36" s="29" t="str">
        <f>IF(印刷プレビュー!$X43="","",VLOOKUP(印刷プレビュー!$X43,データシート!$B$70:$X$463,15,FALSE))</f>
        <v/>
      </c>
      <c r="Q36" s="37" t="str">
        <f>IF(印刷プレビュー!$X43="","",VLOOKUP(印刷プレビュー!$X43,データシート!$B$70:$X$463,16,FALSE))</f>
        <v/>
      </c>
      <c r="R36" s="74" t="str">
        <f>IF(印刷プレビュー!$X43="","",VLOOKUP(印刷プレビュー!$X43,データシート!$B$70:$X$463,17,FALSE))</f>
        <v/>
      </c>
      <c r="S36" s="37" t="str">
        <f>IF(印刷プレビュー!$X43="","",VLOOKUP(印刷プレビュー!$X43,データシート!$B$70:$X$463,18,FALSE))</f>
        <v/>
      </c>
      <c r="T36" s="37" t="str">
        <f>IF(印刷プレビュー!$X43="","",VLOOKUP(印刷プレビュー!$X43,データシート!$B$70:$X$463,19,FALSE))</f>
        <v/>
      </c>
      <c r="U36" s="37" t="str">
        <f>IF(印刷プレビュー!$X43="","",VLOOKUP(印刷プレビュー!$X43,データシート!$B$70:$X$463,20,FALSE))</f>
        <v/>
      </c>
      <c r="V36" s="37" t="str">
        <f>IF(印刷プレビュー!$X43="","",VLOOKUP(印刷プレビュー!$X43,データシート!$B$70:$X$463,21,FALSE))</f>
        <v/>
      </c>
      <c r="W36" s="37" t="str">
        <f>IF(印刷プレビュー!$X43="","",VLOOKUP(印刷プレビュー!$X43,データシート!$B$70:$X$463,22,FALSE))</f>
        <v/>
      </c>
    </row>
    <row r="37" spans="1:32">
      <c r="B37" s="179" t="str">
        <f>IF(印刷プレビュー!X44="","",印刷プレビュー!X44)</f>
        <v/>
      </c>
      <c r="C37" s="179"/>
      <c r="D37" s="37" t="str">
        <f>IF(印刷プレビュー!$X44="","",VLOOKUP(印刷プレビュー!$X44,データシート!$B$70:X475,3,FALSE))</f>
        <v/>
      </c>
      <c r="E37" s="37" t="str">
        <f>IF(印刷プレビュー!$X44="","",VLOOKUP(印刷プレビュー!$X44,データシート!$B$70:Y461,4,FALSE))</f>
        <v/>
      </c>
      <c r="F37" s="37" t="str">
        <f>IF(印刷プレビュー!$X44="","",VLOOKUP(印刷プレビュー!$X44,データシート!$B$70:Z461,5,FALSE))</f>
        <v/>
      </c>
      <c r="G37" s="37" t="str">
        <f>IF(印刷プレビュー!$X44="","",VLOOKUP(印刷プレビュー!$X44,データシート!$B$70:AA461,6,FALSE))</f>
        <v/>
      </c>
      <c r="H37" s="37" t="str">
        <f>IF(印刷プレビュー!$X44="","",VLOOKUP(印刷プレビュー!$X44,データシート!$B$70:AB461,7,FALSE))</f>
        <v/>
      </c>
      <c r="I37" s="37" t="str">
        <f>IF(印刷プレビュー!$X44="","",VLOOKUP(印刷プレビュー!$X44,データシート!$B$70:AC461,8,FALSE))</f>
        <v/>
      </c>
      <c r="J37" s="37" t="str">
        <f>IF(印刷プレビュー!$X44="","",VLOOKUP(印刷プレビュー!$X44,データシート!$B$70:AD461,9,FALSE))</f>
        <v/>
      </c>
      <c r="K37" s="37" t="str">
        <f>IF(印刷プレビュー!$X44="","",VLOOKUP(印刷プレビュー!$X44,データシート!$B$70:AE461,10,FALSE))</f>
        <v/>
      </c>
      <c r="L37" s="29" t="str">
        <f>IF(印刷プレビュー!$X44="","",VLOOKUP(印刷プレビュー!$X44,データシート!$B$70:AF461,11,FALSE))</f>
        <v/>
      </c>
      <c r="M37" s="37" t="str">
        <f>IF(OR(W37="Y4",W37="Y5"),F32,IF(印刷プレビュー!$X44="","",VLOOKUP(印刷プレビュー!$X44,データシート!$B$70:X461,3,FALSE)))</f>
        <v/>
      </c>
      <c r="N37" s="37" t="str">
        <f>IF(印刷プレビュー!$X44="","",VLOOKUP(印刷プレビュー!$X44,データシート!$B$70:AH461,13,FALSE))</f>
        <v/>
      </c>
      <c r="O37" s="37" t="str">
        <f>IF(印刷プレビュー!$X44="","",VLOOKUP(印刷プレビュー!$X44,データシート!$B$70:AI461,14,FALSE))</f>
        <v/>
      </c>
      <c r="P37" s="29" t="str">
        <f>IF(印刷プレビュー!$X44="","",VLOOKUP(印刷プレビュー!$X44,データシート!$B$70:AJ461,15,FALSE))</f>
        <v/>
      </c>
      <c r="Q37" s="37" t="str">
        <f>IF(印刷プレビュー!$X44="","",VLOOKUP(印刷プレビュー!$X44,データシート!$B$70:AK461,16,FALSE))</f>
        <v/>
      </c>
      <c r="R37" s="74" t="str">
        <f>IF(印刷プレビュー!$X44="","",VLOOKUP(印刷プレビュー!$X44,データシート!$B$70:AL461,17,FALSE))</f>
        <v/>
      </c>
      <c r="S37" s="37" t="str">
        <f>IF(印刷プレビュー!$X44="","",VLOOKUP(印刷プレビュー!$X44,データシート!$B$70:AM461,18,FALSE))</f>
        <v/>
      </c>
      <c r="T37" s="37" t="str">
        <f>IF(印刷プレビュー!$X44="","",VLOOKUP(印刷プレビュー!$X44,データシート!$B$70:AN461,19,FALSE))</f>
        <v/>
      </c>
      <c r="U37" s="37" t="str">
        <f>IF(印刷プレビュー!$X44="","",VLOOKUP(印刷プレビュー!$X44,データシート!$B$70:AO461,20,FALSE))</f>
        <v/>
      </c>
      <c r="V37" s="37" t="str">
        <f>IF(印刷プレビュー!$X44="","",VLOOKUP(印刷プレビュー!$X44,データシート!$B$70:AP461,21,FALSE))</f>
        <v/>
      </c>
      <c r="W37" s="37" t="str">
        <f>IF(印刷プレビュー!$X44="","",VLOOKUP(印刷プレビュー!$X44,データシート!$B$70:AP465,22,FALSE))</f>
        <v/>
      </c>
    </row>
    <row r="38" spans="1:32">
      <c r="B38" s="179" t="str">
        <f>IF(印刷プレビュー!X45="","",印刷プレビュー!X45)</f>
        <v/>
      </c>
      <c r="C38" s="179"/>
      <c r="D38" s="37" t="str">
        <f>IF(印刷プレビュー!$X45="","",VLOOKUP(印刷プレビュー!$X45,データシート!$B$70:X476,3,FALSE))</f>
        <v/>
      </c>
      <c r="E38" s="37" t="str">
        <f>IF(印刷プレビュー!$X45="","",VLOOKUP(印刷プレビュー!$X45,データシート!$B$70:Y461,4,FALSE))</f>
        <v/>
      </c>
      <c r="F38" s="37" t="str">
        <f>IF(印刷プレビュー!$X45="","",VLOOKUP(印刷プレビュー!$X45,データシート!$B$70:Z461,5,FALSE))</f>
        <v/>
      </c>
      <c r="G38" s="37" t="str">
        <f>IF(印刷プレビュー!$X45="","",VLOOKUP(印刷プレビュー!$X45,データシート!$B$70:AA461,6,FALSE))</f>
        <v/>
      </c>
      <c r="H38" s="37" t="str">
        <f>IF(印刷プレビュー!$X45="","",VLOOKUP(印刷プレビュー!$X45,データシート!$B$70:AB461,7,FALSE))</f>
        <v/>
      </c>
      <c r="I38" s="37" t="str">
        <f>IF(印刷プレビュー!$X45="","",VLOOKUP(印刷プレビュー!$X45,データシート!$B$70:AC461,8,FALSE))</f>
        <v/>
      </c>
      <c r="J38" s="37" t="str">
        <f>IF(印刷プレビュー!$X45="","",VLOOKUP(印刷プレビュー!$X45,データシート!$B$70:AD461,9,FALSE))</f>
        <v/>
      </c>
      <c r="K38" s="37" t="str">
        <f>IF(印刷プレビュー!$X45="","",VLOOKUP(印刷プレビュー!$X45,データシート!$B$70:AE461,10,FALSE))</f>
        <v/>
      </c>
      <c r="L38" s="29" t="str">
        <f>IF(印刷プレビュー!$X45="","",VLOOKUP(印刷プレビュー!$X45,データシート!$B$70:AF461,11,FALSE))</f>
        <v/>
      </c>
      <c r="M38" s="37" t="str">
        <f>IF(OR(W38="Y4",W38="Y5"),F33,IF(印刷プレビュー!$X45="","",VLOOKUP(印刷プレビュー!$X45,データシート!$B$70:X461,3,FALSE)))</f>
        <v/>
      </c>
      <c r="N38" s="37" t="str">
        <f>IF(印刷プレビュー!$X45="","",VLOOKUP(印刷プレビュー!$X45,データシート!$B$70:AH461,13,FALSE))</f>
        <v/>
      </c>
      <c r="O38" s="37" t="str">
        <f>IF(印刷プレビュー!$X45="","",VLOOKUP(印刷プレビュー!$X45,データシート!$B$70:AI461,14,FALSE))</f>
        <v/>
      </c>
      <c r="P38" s="29" t="str">
        <f>IF(印刷プレビュー!$X45="","",VLOOKUP(印刷プレビュー!$X45,データシート!$B$70:AJ461,15,FALSE))</f>
        <v/>
      </c>
      <c r="Q38" s="37" t="str">
        <f>IF(印刷プレビュー!$X45="","",VLOOKUP(印刷プレビュー!$X45,データシート!$B$70:AK461,16,FALSE))</f>
        <v/>
      </c>
      <c r="R38" s="74" t="str">
        <f>IF(印刷プレビュー!$X45="","",VLOOKUP(印刷プレビュー!$X45,データシート!$B$70:AL461,17,FALSE))</f>
        <v/>
      </c>
      <c r="S38" s="37" t="str">
        <f>IF(印刷プレビュー!$X45="","",VLOOKUP(印刷プレビュー!$X45,データシート!$B$70:AM461,18,FALSE))</f>
        <v/>
      </c>
      <c r="T38" s="37" t="str">
        <f>IF(印刷プレビュー!$X45="","",VLOOKUP(印刷プレビュー!$X45,データシート!$B$70:AN461,19,FALSE))</f>
        <v/>
      </c>
      <c r="U38" s="37" t="str">
        <f>IF(印刷プレビュー!$X45="","",VLOOKUP(印刷プレビュー!$X45,データシート!$B$70:AO461,20,FALSE))</f>
        <v/>
      </c>
      <c r="V38" s="37" t="str">
        <f>IF(印刷プレビュー!$X45="","",VLOOKUP(印刷プレビュー!$X45,データシート!$B$70:AP461,21,FALSE))</f>
        <v/>
      </c>
      <c r="W38" s="37" t="str">
        <f>IF(印刷プレビュー!$X45="","",VLOOKUP(印刷プレビュー!$X45,データシート!$B$70:AP466,22,FALSE))</f>
        <v/>
      </c>
    </row>
    <row r="39" spans="1:32">
      <c r="B39" s="179" t="str">
        <f>IF(印刷プレビュー!X46="","",印刷プレビュー!X46)</f>
        <v/>
      </c>
      <c r="C39" s="179"/>
      <c r="D39" s="37" t="str">
        <f>IF(印刷プレビュー!$X46="","",VLOOKUP(印刷プレビュー!$X46,データシート!$B$70:X477,3,FALSE))</f>
        <v/>
      </c>
      <c r="E39" s="37" t="str">
        <f>IF(印刷プレビュー!$X46="","",VLOOKUP(印刷プレビュー!$X46,データシート!$B$70:Y461,4,FALSE))</f>
        <v/>
      </c>
      <c r="F39" s="37" t="str">
        <f>IF(印刷プレビュー!$X46="","",VLOOKUP(印刷プレビュー!$X46,データシート!$B$70:Z461,5,FALSE))</f>
        <v/>
      </c>
      <c r="G39" s="37" t="str">
        <f>IF(印刷プレビュー!$X46="","",VLOOKUP(印刷プレビュー!$X46,データシート!$B$70:AA461,6,FALSE))</f>
        <v/>
      </c>
      <c r="H39" s="37" t="str">
        <f>IF(印刷プレビュー!$X46="","",VLOOKUP(印刷プレビュー!$X46,データシート!$B$70:AB461,7,FALSE))</f>
        <v/>
      </c>
      <c r="I39" s="37" t="str">
        <f>IF(印刷プレビュー!$X46="","",VLOOKUP(印刷プレビュー!$X46,データシート!$B$70:AC461,8,FALSE))</f>
        <v/>
      </c>
      <c r="J39" s="37" t="str">
        <f>IF(印刷プレビュー!$X46="","",VLOOKUP(印刷プレビュー!$X46,データシート!$B$70:AD461,9,FALSE))</f>
        <v/>
      </c>
      <c r="K39" s="37" t="str">
        <f>IF(印刷プレビュー!$X46="","",VLOOKUP(印刷プレビュー!$X46,データシート!$B$70:AE461,10,FALSE))</f>
        <v/>
      </c>
      <c r="L39" s="29" t="str">
        <f>IF(印刷プレビュー!$X46="","",VLOOKUP(印刷プレビュー!$X46,データシート!$B$70:AF461,11,FALSE))</f>
        <v/>
      </c>
      <c r="M39" s="37" t="str">
        <f>IF(OR(W39="Y4",W39="Y5"),F34,IF(印刷プレビュー!$X46="","",VLOOKUP(印刷プレビュー!$X46,データシート!$B$70:X461,3,FALSE)))</f>
        <v/>
      </c>
      <c r="N39" s="37" t="str">
        <f>IF(印刷プレビュー!$X46="","",VLOOKUP(印刷プレビュー!$X46,データシート!$B$70:AH461,13,FALSE))</f>
        <v/>
      </c>
      <c r="O39" s="37" t="str">
        <f>IF(印刷プレビュー!$X46="","",VLOOKUP(印刷プレビュー!$X46,データシート!$B$70:AI461,14,FALSE))</f>
        <v/>
      </c>
      <c r="P39" s="29" t="str">
        <f>IF(印刷プレビュー!$X46="","",VLOOKUP(印刷プレビュー!$X46,データシート!$B$70:AJ461,15,FALSE))</f>
        <v/>
      </c>
      <c r="Q39" s="37" t="str">
        <f>IF(印刷プレビュー!$X46="","",VLOOKUP(印刷プレビュー!$X46,データシート!$B$70:AK461,16,FALSE))</f>
        <v/>
      </c>
      <c r="R39" s="74" t="str">
        <f>IF(印刷プレビュー!$X46="","",VLOOKUP(印刷プレビュー!$X46,データシート!$B$70:AL461,17,FALSE))</f>
        <v/>
      </c>
      <c r="S39" s="37" t="str">
        <f>IF(印刷プレビュー!$X46="","",VLOOKUP(印刷プレビュー!$X46,データシート!$B$70:AM461,18,FALSE))</f>
        <v/>
      </c>
      <c r="T39" s="37" t="str">
        <f>IF(印刷プレビュー!$X46="","",VLOOKUP(印刷プレビュー!$X46,データシート!$B$70:AN461,19,FALSE))</f>
        <v/>
      </c>
      <c r="U39" s="37" t="str">
        <f>IF(印刷プレビュー!$X46="","",VLOOKUP(印刷プレビュー!$X46,データシート!$B$70:AO461,20,FALSE))</f>
        <v/>
      </c>
      <c r="V39" s="37" t="str">
        <f>IF(印刷プレビュー!$X46="","",VLOOKUP(印刷プレビュー!$X46,データシート!$B$70:AP461,21,FALSE))</f>
        <v/>
      </c>
      <c r="W39" s="37" t="str">
        <f>IF(印刷プレビュー!$X46="","",VLOOKUP(印刷プレビュー!$X46,データシート!$B$70:AP467,22,FALSE))</f>
        <v/>
      </c>
    </row>
    <row r="40" spans="1:32">
      <c r="D40" s="37" t="str">
        <f>IF(印刷プレビュー!$X48="","",VLOOKUP(印刷プレビュー!$X48,データシート!$B$70:X461,3,FALSE))</f>
        <v/>
      </c>
      <c r="Z40" s="37"/>
    </row>
    <row r="41" spans="1:32">
      <c r="D41" s="37" t="str">
        <f>IF(D36="","",D36)</f>
        <v/>
      </c>
      <c r="E41" s="36" t="s">
        <v>93</v>
      </c>
      <c r="F41" s="37" t="str">
        <f>IF(F36="","",IF(F37="",F36,IF(F38="",F37,IF(F39="",F38,F39))))</f>
        <v/>
      </c>
      <c r="G41" s="36" t="s">
        <v>94</v>
      </c>
      <c r="H41" s="37" t="str">
        <f>$H$6</f>
        <v/>
      </c>
      <c r="I41" s="37" t="str">
        <f>IF(T36="","",I36)</f>
        <v/>
      </c>
      <c r="J41" s="37" t="str">
        <f>IF(印刷プレビュー!Y42="YES","本    社",IF(AND(J36&lt;&gt;"",J37=""),J36,IF(AND(J37&lt;&gt;"",J38=""),J37,IF(AND(J38&lt;&gt;"",J39=""),J38,J39))))</f>
        <v/>
      </c>
      <c r="K41" s="37" t="str">
        <f>IF(K36="","",IF(K37="",K36,IF(K38="",K37,IF(K39="",K38,K39))))</f>
        <v/>
      </c>
      <c r="L41" s="26" t="str">
        <f>IF(AND(L36=L37,L36=L38,L36=L39),L36,IF(AND(L36=L37,L36=L38),L36&amp;"    "&amp;L39,IF(L36=L37,L36&amp;"    "&amp;L38,L36&amp;"    "&amp;L37)))</f>
        <v/>
      </c>
      <c r="M41" s="37" t="str">
        <f>IF(M36="","",M36)</f>
        <v/>
      </c>
      <c r="N41" s="37" t="str">
        <f>IF(N36="","",IF(N37="",N36,IF(N38="",N37,IF(N39="",N38,N39))))</f>
        <v/>
      </c>
      <c r="O41" s="37" t="str">
        <f>IF(O36="","",IF(O37="",O36+印刷プレビュー!AA45,IF(O38="",O36+O37+印刷プレビュー!AA45,IF(O39="",O36+O37+O38+印刷プレビュー!AA45,O36+O37+O38+O39+印刷プレビュー!AA45))))</f>
        <v/>
      </c>
      <c r="P41" s="38">
        <f>SUM(P36:P39)</f>
        <v>0</v>
      </c>
      <c r="Q41" s="37" t="str">
        <f>IF(Q36="","",IF(Q37="",Q36,IF(Q38="",Q36+Q37,IF(Q39="",Q36+Q37+Q38,Q36+Q37+Q38+Q39))))</f>
        <v/>
      </c>
      <c r="R41" s="74" t="str">
        <f>IF(R36="","0:0",IF(R37="",R36,IF(R38="",R36+R37,IF(R39="",R36+R37+R38,R36+R37+R38+R39))))</f>
        <v>0:0</v>
      </c>
      <c r="U41" s="37" t="str">
        <f>IF(OR(W36="B",W36="B2"),IF(U36&lt;F31,F41,F31),"0:00")</f>
        <v>0:00</v>
      </c>
      <c r="V41" s="37" t="str">
        <f>IF(OR(W36="B",W36="B2"),IF(V36&lt;F36,D33,D36),"0:00")</f>
        <v>0:00</v>
      </c>
      <c r="W41" t="str">
        <f>IF(W36="B"," ",IF(OR(W36="B2",V36="10:41"),"",""))</f>
        <v/>
      </c>
      <c r="X41" s="37" t="str">
        <f>IF(W36&lt;&gt;"",IF(AND(R41&gt;データシート!$K$65,R41&lt;データシート!$K$66),R41,VALUE(F41)-VALUE(D41)),"0:00")</f>
        <v>0:00</v>
      </c>
      <c r="Y41" s="37" t="str">
        <f>IF(OR(W36="K",W36="K2",W36="T"),Q41+印刷プレビュー!AA46,"0:00")</f>
        <v>0:00</v>
      </c>
      <c r="Z41" s="37" t="str">
        <f>IF(OR(W36="",W36="K",W36="K2",W36="K2",W36="T",W36="B",W36="B2"),"0:00",IF(AND(W36="Y1",$D$11&gt;データシート!$P$61-データシート!$P$64),($D$11-D41)-データシート!$Q$61,IF(AND(W36="Y1",$D$11&lt;データシート!$P$61-データシート!$P$64,$D$11&gt;データシート!$O$61+データシート!$P$64),$D$11-D41-($D$11-データシート!$O$61)-データシート!$R$61,IF(AND(W36="Y1",$D$11&gt;データシート!$N$61-データシート!$P$64),$D$11-D41-データシート!$R$61,IF(AND(W36="Y1",$D$11&lt;データシート!$N$61-データシート!$P$64,$D$11&gt;データシート!$M$61+データシート!$P$64),$D$11-D41-($D$11-データシート!$M$61),IF(AND(W36="Y2",$D$11&gt;データシート!$P$62-データシート!$P$64),$D$11-D41-データシート!$Q$62,IF(AND(W36="Y2",$D$11&lt;データシート!$P$62-データシート!$P$64,$D$11&gt;データシート!$O$62+データシート!$P$64),$D$11-D41-($D$11-データシート!$O$62)-データシート!$R$62,IF(AND(W36="Y2",$D$11&gt;データシート!$N$62-データシート!$P$64),$D$11-D41-データシート!$R$62,IF(AND(W36="Y2",$D$11&lt;データシート!$N$62-データシート!$P$64,$D$11&gt;データシート!$M$62+データシート!$P$64),$D$11-D41-($D$11-データシート!$M$62),IF(AND(W36="Y4",D41&gt;データシート!$N$63-データシート!$P$64),F41-F31,IF(AND(W36="Y4",D41&lt;データシート!$N$63-データシート!$P$64,D41&gt;データシート!$M$63+データシート!$P$64),F41-F31-(データシート!$N$63-D41),IF(AND(W36="Y4",D41&lt;データシート!$M$63+データシート!$P$64),F41-F31-データシート!$R$63,IF(AND(W36="Y5",D41&gt;データシート!$N$64-データシート!$P$64),F41-F31,IF(AND(W36="Y5",D41&lt;データシート!$N$64-データシート!$P$64,D41&gt;データシート!$M$64+データシート!$P$64),F41-F31-(データシート!$N$64-D41),IF(AND(W36="Y5",D41&lt;データシート!$M$64+データシート!$P$64),F41-F31-データシート!$R$64,)))))))))))))))</f>
        <v>0:00</v>
      </c>
      <c r="AA41" s="37" t="str">
        <f>IF(OR(W36="B",W36="B2"),Q36,"0:00")</f>
        <v>0:00</v>
      </c>
      <c r="AB41" s="37" t="str">
        <f>IF(OR(W36="B",W36="B2"),"","")</f>
        <v/>
      </c>
    </row>
    <row r="42" spans="1:32">
      <c r="I42" s="36" t="s">
        <v>95</v>
      </c>
      <c r="K42" s="36" t="s">
        <v>96</v>
      </c>
      <c r="M42" s="36" t="s">
        <v>95</v>
      </c>
      <c r="N42" s="36" t="s">
        <v>96</v>
      </c>
    </row>
    <row r="44" spans="1:32">
      <c r="A44" s="72" t="s">
        <v>117</v>
      </c>
      <c r="D44" s="37" t="str">
        <f>D6</f>
        <v/>
      </c>
      <c r="E44" s="36" t="s">
        <v>93</v>
      </c>
      <c r="F44" s="37" t="str">
        <f>IF(AND(F21="",F31="",F41=""),F11,IF(AND(F31="",F41=""),F21,IF(F41="",F31,"")))</f>
        <v/>
      </c>
      <c r="G44" s="36" t="s">
        <v>94</v>
      </c>
      <c r="H44" s="37" t="str">
        <f>$H$6</f>
        <v/>
      </c>
      <c r="I44" s="37" t="str">
        <f>I6</f>
        <v/>
      </c>
      <c r="J44" s="37" t="str">
        <f>IF(AND(J11&lt;&gt;"",J21=""),J11,IF(AND(J21&lt;&gt;"",J31=""),J21,IF(AND(J31&lt;&gt;"",J41=""),J31,J41)))</f>
        <v/>
      </c>
      <c r="K44" s="37" t="str">
        <f>IF(AND(K21="",K31="",K41=""),K11,IF(AND(K31="",K41=""),K21,IF(K41="",K31,K41)))</f>
        <v/>
      </c>
      <c r="L44" s="26" t="str">
        <f>IF(AND(L39=L40,L39=L41,L39=L42),L39,IF(AND(L39=L40,L39=L41),L39&amp;"    "&amp;L42,IF(L39=L40,L39&amp;"    "&amp;L41,L39&amp;"    "&amp;L40)))</f>
        <v/>
      </c>
      <c r="M44" s="37" t="str">
        <f>M6</f>
        <v/>
      </c>
      <c r="N44" s="37" t="str">
        <f>IF(AND(N21="",N31="",N41=""),N11,IF(AND(N31="",N41=""),N21,IF(N21="",N11,"")))</f>
        <v/>
      </c>
      <c r="O44" s="37" t="str">
        <f>IF(O11="","",IF(O21="",O11,IF(O31="",O11+O21,IF(O41="",O11+O21+O31,O3+O11+O21+O31+O41))))</f>
        <v/>
      </c>
      <c r="P44" s="38">
        <f>P11+P21+P31+P41</f>
        <v>0</v>
      </c>
      <c r="Q44" s="37" t="str">
        <f>IF(Q11="","",IF(Q21="",Q11,IF(Q31="",Q11+Q21,IF(Q41="",Q11+Q21+Q31,Q11+Q21+Q31+Q41))))</f>
        <v/>
      </c>
      <c r="R44" s="89" t="e">
        <f>R11+R21+R31+R41</f>
        <v>#VALUE!</v>
      </c>
      <c r="W44" s="26" t="str">
        <f>IF(AND(W39=W40,W39=W41,W39=W42),W39,IF(AND(W39=W40,W39=W41),W39&amp;"    "&amp;W42,IF(W39=W40,W39&amp;"    "&amp;W41,W39&amp;"    "&amp;W40)))</f>
        <v/>
      </c>
      <c r="X44" s="37" t="e">
        <f>VALUE(F47)-VALUE(D47)</f>
        <v>#VALUE!</v>
      </c>
      <c r="Y44" s="37">
        <f>Y11+Y21+Y31+Y41+Z44+AA44</f>
        <v>0</v>
      </c>
      <c r="Z44" s="37">
        <f>IF(Z11="","",IF(Z21="",Z11,IF(Z31="",Z11+Z21,IF(Z41="",Z11+Z21+Z31,Z11+Z21+Z31+Z41))))</f>
        <v>0</v>
      </c>
      <c r="AA44" s="37">
        <f>IF(AA11="","",IF(AA21="",AA11,IF(AA31="",AA11+AA21,IF(AA41="",AA11+AA21+AA31,AA11+AA21+AA31+AA41))))</f>
        <v>0</v>
      </c>
      <c r="AB44" s="37" t="str">
        <f>IF(AB11="","",IF(AB21="",AB11,IF(AB31="",AB11+AB21,IF(AB41="",AB11+AB21+AB31,AB11+AB21+AB31+AB41))))</f>
        <v/>
      </c>
    </row>
    <row r="45" spans="1:32">
      <c r="F45" s="36" t="str">
        <f>IF(AND(F21="",F31="",F41=""),F11,IF(AND(F31="",F41=""),F21,IF(F21="",F11,"")))</f>
        <v/>
      </c>
      <c r="I45" s="36" t="s">
        <v>95</v>
      </c>
      <c r="K45" s="36" t="s">
        <v>96</v>
      </c>
      <c r="M45" s="36" t="s">
        <v>95</v>
      </c>
      <c r="N45" s="36" t="s">
        <v>96</v>
      </c>
      <c r="X45" s="73" t="s">
        <v>139</v>
      </c>
      <c r="Y45" s="73" t="s">
        <v>139</v>
      </c>
    </row>
    <row r="46" spans="1:32">
      <c r="X46" s="76" t="s">
        <v>230</v>
      </c>
      <c r="Y46" s="76" t="s">
        <v>147</v>
      </c>
    </row>
    <row r="47" spans="1:32">
      <c r="A47" s="71" t="s">
        <v>118</v>
      </c>
      <c r="D47" s="37" t="str">
        <f>D6</f>
        <v/>
      </c>
      <c r="F47" s="37" t="str">
        <f>IF(AND(F21="",F31="",F41=""),F11,IF(AND(F31="",F41=""),F21,IF(F41="",F31,F41)))</f>
        <v/>
      </c>
      <c r="I47" s="37" t="str">
        <f>I6</f>
        <v/>
      </c>
      <c r="K47" s="37" t="e">
        <f>VALUE(IF(AND(K21="",K31="",K41=""),K11,IF(AND(K31="",K41=""),K21,IF(K41="",K31,K41))))</f>
        <v>#VALUE!</v>
      </c>
      <c r="M47" s="37" t="str">
        <f>M6</f>
        <v/>
      </c>
      <c r="N47" s="37" t="str">
        <f>IF(AND(N21="",N31="",N41=""),N11,IF(AND(N31="",N41=""),N21,IF(N21="",N11,"")))</f>
        <v/>
      </c>
      <c r="O47" s="37">
        <f>IF(O6="",O3,O44)</f>
        <v>0</v>
      </c>
      <c r="P47" s="100">
        <f>P44</f>
        <v>0</v>
      </c>
      <c r="Q47" s="101">
        <f>IF(Q6="",Q3,MAX(Q3,Q44))</f>
        <v>0</v>
      </c>
      <c r="R47" s="99" t="e">
        <f>VALUE(IF(R44&gt;0,"0.0",R44))</f>
        <v>#VALUE!</v>
      </c>
      <c r="S47" s="99" t="e">
        <f>IF(P47+R47&gt;300,P47+R47,"")</f>
        <v>#VALUE!</v>
      </c>
      <c r="X47" s="37" t="e">
        <f>X44-X50</f>
        <v>#VALUE!</v>
      </c>
      <c r="Y47" s="37">
        <f>Y44-Y50</f>
        <v>-0.30555555555555558</v>
      </c>
      <c r="Z47" s="36">
        <f>Z11+Z21+Z31+Z41</f>
        <v>0</v>
      </c>
      <c r="AA47" s="36">
        <f>AA11+AA21+AA31+AA41</f>
        <v>0</v>
      </c>
      <c r="AB47" s="36">
        <f>0</f>
        <v>0</v>
      </c>
      <c r="AC47" s="36" t="e">
        <f>IF(Y48="","",Y48)</f>
        <v>#VALUE!</v>
      </c>
      <c r="AD47" s="37">
        <f>IF(OR(印刷プレビュー!Y8="増出",印刷プレビュー!Y8="公出"),Y44,0)</f>
        <v>0</v>
      </c>
      <c r="AE47" s="37">
        <f>IF(OR(印刷プレビュー!Y8="増出",印刷プレビュー!Y8="公出"),X44,0)</f>
        <v>0</v>
      </c>
      <c r="AF47" s="37">
        <f>IF(AD47=0,0,IF(VALUE(AD47)&gt;VALUE(AE47)*0.6,VALUE(AD47),""))</f>
        <v>0</v>
      </c>
    </row>
    <row r="48" spans="1:32">
      <c r="X48" s="36" t="e">
        <f>IF(X47*0.6&gt;Y47,X47,"")</f>
        <v>#VALUE!</v>
      </c>
      <c r="Y48" s="37" t="e">
        <f>IF(X47*0.6&gt;Y47,"",Y47)</f>
        <v>#VALUE!</v>
      </c>
      <c r="Z48" s="73" t="s">
        <v>139</v>
      </c>
      <c r="AC48" s="73" t="s">
        <v>139</v>
      </c>
      <c r="AD48" s="73" t="s">
        <v>139</v>
      </c>
      <c r="AE48" s="73" t="s">
        <v>139</v>
      </c>
      <c r="AF48" s="73" t="s">
        <v>139</v>
      </c>
    </row>
    <row r="49" spans="16:32">
      <c r="P49" s="93" t="str">
        <f>IF(P47&gt;200,P47-200,"0.0")</f>
        <v>0.0</v>
      </c>
      <c r="Q49" t="str">
        <f>IF(P49="","","  キロオーバー"&amp;"  "&amp;TEXT(P49,"###.#")&amp;"km")</f>
        <v xml:space="preserve">  キロオーバー  .km</v>
      </c>
      <c r="X49" s="180" t="s">
        <v>138</v>
      </c>
      <c r="Y49" s="180"/>
      <c r="Z49" s="76" t="s">
        <v>124</v>
      </c>
      <c r="AC49" s="76" t="s">
        <v>147</v>
      </c>
      <c r="AD49" s="76" t="s">
        <v>227</v>
      </c>
      <c r="AE49" s="76" t="s">
        <v>228</v>
      </c>
      <c r="AF49" s="76" t="s">
        <v>235</v>
      </c>
    </row>
    <row r="50" spans="16:32">
      <c r="P50" s="92" t="str">
        <f>"0.0"</f>
        <v>0.0</v>
      </c>
      <c r="Q50" s="36" t="str">
        <f>IF(P50="","","  通算キロオーバー"&amp;"  "&amp;TEXT(P50,"###.#")&amp;"km")</f>
        <v xml:space="preserve">  通算キロオーバー  .km</v>
      </c>
      <c r="W50" s="71" t="s">
        <v>194</v>
      </c>
      <c r="X50" s="69">
        <v>0.34722222222222221</v>
      </c>
      <c r="Y50" s="107">
        <v>0.30555555555555558</v>
      </c>
      <c r="AF50" s="76" t="s">
        <v>236</v>
      </c>
    </row>
    <row r="51" spans="16:32">
      <c r="P51" s="73"/>
      <c r="AF51" s="73" t="s">
        <v>237</v>
      </c>
    </row>
    <row r="52" spans="16:32">
      <c r="R52" s="69" t="str">
        <f>IF(D6="","","全拘束時間   "&amp;TEXT($X$44,"h:mm"))</f>
        <v/>
      </c>
      <c r="S52" s="69"/>
      <c r="AF52" s="36">
        <f>IF(AD47=0,0,IF(VALUE(AD47)&gt;VALUE(AE47)*0.6,"",VALUE(AE47)))</f>
        <v>0</v>
      </c>
    </row>
    <row r="53" spans="16:32">
      <c r="R53" s="69" t="str">
        <f>IF(Y45&lt;0,"","全実働時間   "&amp;TEXT($Y$44,"h:mm"))</f>
        <v>全実働時間   0:00</v>
      </c>
      <c r="S53" s="69"/>
    </row>
    <row r="55" spans="16:32">
      <c r="R55" s="36"/>
    </row>
  </sheetData>
  <mergeCells count="19">
    <mergeCell ref="X49:Y49"/>
    <mergeCell ref="B6:C6"/>
    <mergeCell ref="B7:C7"/>
    <mergeCell ref="B8:C8"/>
    <mergeCell ref="B9:C9"/>
    <mergeCell ref="B38:C38"/>
    <mergeCell ref="B39:C39"/>
    <mergeCell ref="B10:C10"/>
    <mergeCell ref="B20:C20"/>
    <mergeCell ref="B18:C18"/>
    <mergeCell ref="B29:C29"/>
    <mergeCell ref="B26:C26"/>
    <mergeCell ref="B27:C27"/>
    <mergeCell ref="B28:C28"/>
    <mergeCell ref="B36:C36"/>
    <mergeCell ref="B37:C37"/>
    <mergeCell ref="B16:C16"/>
    <mergeCell ref="B17:C17"/>
    <mergeCell ref="B19:C19"/>
  </mergeCells>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1D653-2797-4420-B13C-BC56EE38B87C}">
  <sheetPr codeName="Sheet4"/>
  <dimension ref="B2:D139"/>
  <sheetViews>
    <sheetView workbookViewId="0">
      <selection activeCell="C137" sqref="C137"/>
    </sheetView>
  </sheetViews>
  <sheetFormatPr defaultRowHeight="13.5"/>
  <cols>
    <col min="2" max="2" width="9" style="35"/>
  </cols>
  <sheetData>
    <row r="2" spans="2:4">
      <c r="D2" s="35">
        <v>3.472222222222222E-3</v>
      </c>
    </row>
    <row r="3" spans="2:4">
      <c r="B3" s="35">
        <v>0.47916666666666669</v>
      </c>
      <c r="D3" s="35">
        <v>3.472222222222222E-3</v>
      </c>
    </row>
    <row r="4" spans="2:4">
      <c r="B4" s="35">
        <f t="shared" ref="B4:B67" si="0">B3+$D$2</f>
        <v>0.4826388888888889</v>
      </c>
    </row>
    <row r="5" spans="2:4">
      <c r="B5" s="35">
        <f t="shared" si="0"/>
        <v>0.4861111111111111</v>
      </c>
    </row>
    <row r="6" spans="2:4">
      <c r="B6" s="35">
        <f t="shared" si="0"/>
        <v>0.48958333333333331</v>
      </c>
    </row>
    <row r="7" spans="2:4">
      <c r="B7" s="35">
        <f t="shared" si="0"/>
        <v>0.49305555555555552</v>
      </c>
    </row>
    <row r="8" spans="2:4">
      <c r="B8" s="35">
        <f t="shared" si="0"/>
        <v>0.49652777777777773</v>
      </c>
    </row>
    <row r="10" spans="2:4">
      <c r="B10" s="35">
        <f>B8+$D$2</f>
        <v>0.49999999999999994</v>
      </c>
    </row>
    <row r="11" spans="2:4">
      <c r="B11" s="35">
        <f t="shared" si="0"/>
        <v>0.50347222222222221</v>
      </c>
    </row>
    <row r="12" spans="2:4">
      <c r="B12" s="35">
        <f t="shared" si="0"/>
        <v>0.50694444444444442</v>
      </c>
    </row>
    <row r="13" spans="2:4">
      <c r="B13" s="35">
        <f t="shared" si="0"/>
        <v>0.51041666666666663</v>
      </c>
    </row>
    <row r="14" spans="2:4">
      <c r="B14" s="35">
        <f t="shared" si="0"/>
        <v>0.51388888888888884</v>
      </c>
    </row>
    <row r="15" spans="2:4">
      <c r="B15" s="35">
        <f t="shared" si="0"/>
        <v>0.51736111111111105</v>
      </c>
    </row>
    <row r="16" spans="2:4">
      <c r="B16" s="35">
        <f t="shared" si="0"/>
        <v>0.52083333333333326</v>
      </c>
    </row>
    <row r="17" spans="2:2">
      <c r="B17" s="35">
        <f t="shared" si="0"/>
        <v>0.52430555555555547</v>
      </c>
    </row>
    <row r="18" spans="2:2">
      <c r="B18" s="35">
        <f t="shared" si="0"/>
        <v>0.52777777777777768</v>
      </c>
    </row>
    <row r="19" spans="2:2">
      <c r="B19" s="35">
        <f t="shared" si="0"/>
        <v>0.53124999999999989</v>
      </c>
    </row>
    <row r="20" spans="2:2">
      <c r="B20" s="35">
        <f t="shared" si="0"/>
        <v>0.5347222222222221</v>
      </c>
    </row>
    <row r="21" spans="2:2">
      <c r="B21" s="35">
        <f t="shared" si="0"/>
        <v>0.53819444444444431</v>
      </c>
    </row>
    <row r="23" spans="2:2">
      <c r="B23" s="35">
        <f>B21+$D$2</f>
        <v>0.54166666666666652</v>
      </c>
    </row>
    <row r="24" spans="2:2">
      <c r="B24" s="35">
        <f t="shared" si="0"/>
        <v>0.54513888888888873</v>
      </c>
    </row>
    <row r="25" spans="2:2">
      <c r="B25" s="35">
        <f t="shared" si="0"/>
        <v>0.54861111111111094</v>
      </c>
    </row>
    <row r="26" spans="2:2">
      <c r="B26" s="35">
        <f t="shared" si="0"/>
        <v>0.55208333333333315</v>
      </c>
    </row>
    <row r="27" spans="2:2">
      <c r="B27" s="35">
        <f t="shared" si="0"/>
        <v>0.55555555555555536</v>
      </c>
    </row>
    <row r="28" spans="2:2">
      <c r="B28" s="35">
        <f t="shared" si="0"/>
        <v>0.55902777777777757</v>
      </c>
    </row>
    <row r="29" spans="2:2">
      <c r="B29" s="35">
        <f t="shared" si="0"/>
        <v>0.56249999999999978</v>
      </c>
    </row>
    <row r="30" spans="2:2">
      <c r="B30" s="35">
        <f t="shared" si="0"/>
        <v>0.56597222222222199</v>
      </c>
    </row>
    <row r="31" spans="2:2">
      <c r="B31" s="35">
        <f t="shared" si="0"/>
        <v>0.5694444444444442</v>
      </c>
    </row>
    <row r="32" spans="2:2">
      <c r="B32" s="35">
        <f t="shared" si="0"/>
        <v>0.57291666666666641</v>
      </c>
    </row>
    <row r="33" spans="2:2">
      <c r="B33" s="35">
        <f t="shared" si="0"/>
        <v>0.57638888888888862</v>
      </c>
    </row>
    <row r="34" spans="2:2">
      <c r="B34" s="35">
        <f t="shared" si="0"/>
        <v>0.57986111111111083</v>
      </c>
    </row>
    <row r="36" spans="2:2">
      <c r="B36" s="35">
        <f>B34+$D$2</f>
        <v>0.58333333333333304</v>
      </c>
    </row>
    <row r="37" spans="2:2">
      <c r="B37" s="35">
        <f t="shared" si="0"/>
        <v>0.58680555555555525</v>
      </c>
    </row>
    <row r="38" spans="2:2">
      <c r="B38" s="35">
        <f t="shared" si="0"/>
        <v>0.59027777777777746</v>
      </c>
    </row>
    <row r="39" spans="2:2">
      <c r="B39" s="35">
        <f t="shared" si="0"/>
        <v>0.59374999999999967</v>
      </c>
    </row>
    <row r="40" spans="2:2">
      <c r="B40" s="35">
        <f t="shared" si="0"/>
        <v>0.59722222222222188</v>
      </c>
    </row>
    <row r="41" spans="2:2">
      <c r="B41" s="35">
        <f t="shared" si="0"/>
        <v>0.60069444444444409</v>
      </c>
    </row>
    <row r="42" spans="2:2">
      <c r="B42" s="35">
        <f t="shared" si="0"/>
        <v>0.6041666666666663</v>
      </c>
    </row>
    <row r="43" spans="2:2">
      <c r="B43" s="35">
        <f t="shared" si="0"/>
        <v>0.60763888888888851</v>
      </c>
    </row>
    <row r="44" spans="2:2">
      <c r="B44" s="35">
        <f t="shared" si="0"/>
        <v>0.61111111111111072</v>
      </c>
    </row>
    <row r="45" spans="2:2">
      <c r="B45" s="35">
        <f t="shared" si="0"/>
        <v>0.61458333333333293</v>
      </c>
    </row>
    <row r="46" spans="2:2">
      <c r="B46" s="35">
        <f t="shared" si="0"/>
        <v>0.61805555555555514</v>
      </c>
    </row>
    <row r="47" spans="2:2">
      <c r="B47" s="35">
        <f t="shared" si="0"/>
        <v>0.62152777777777735</v>
      </c>
    </row>
    <row r="49" spans="2:2">
      <c r="B49" s="35">
        <f>B47+$D$2</f>
        <v>0.62499999999999956</v>
      </c>
    </row>
    <row r="50" spans="2:2">
      <c r="B50" s="35">
        <f t="shared" si="0"/>
        <v>0.62847222222222177</v>
      </c>
    </row>
    <row r="51" spans="2:2">
      <c r="B51" s="35">
        <f t="shared" si="0"/>
        <v>0.63194444444444398</v>
      </c>
    </row>
    <row r="52" spans="2:2">
      <c r="B52" s="35">
        <f t="shared" si="0"/>
        <v>0.63541666666666619</v>
      </c>
    </row>
    <row r="53" spans="2:2">
      <c r="B53" s="35">
        <f t="shared" si="0"/>
        <v>0.6388888888888884</v>
      </c>
    </row>
    <row r="54" spans="2:2">
      <c r="B54" s="35">
        <f t="shared" si="0"/>
        <v>0.64236111111111061</v>
      </c>
    </row>
    <row r="55" spans="2:2">
      <c r="B55" s="35">
        <f t="shared" si="0"/>
        <v>0.64583333333333282</v>
      </c>
    </row>
    <row r="56" spans="2:2">
      <c r="B56" s="35">
        <f t="shared" si="0"/>
        <v>0.64930555555555503</v>
      </c>
    </row>
    <row r="57" spans="2:2">
      <c r="B57" s="35">
        <f t="shared" si="0"/>
        <v>0.65277777777777724</v>
      </c>
    </row>
    <row r="58" spans="2:2">
      <c r="B58" s="35">
        <f t="shared" si="0"/>
        <v>0.65624999999999944</v>
      </c>
    </row>
    <row r="59" spans="2:2">
      <c r="B59" s="35">
        <f t="shared" si="0"/>
        <v>0.65972222222222165</v>
      </c>
    </row>
    <row r="60" spans="2:2">
      <c r="B60" s="35">
        <f t="shared" si="0"/>
        <v>0.66319444444444386</v>
      </c>
    </row>
    <row r="62" spans="2:2">
      <c r="B62" s="35">
        <f>B60+$D$2</f>
        <v>0.66666666666666607</v>
      </c>
    </row>
    <row r="63" spans="2:2">
      <c r="B63" s="35">
        <f t="shared" si="0"/>
        <v>0.67013888888888828</v>
      </c>
    </row>
    <row r="64" spans="2:2">
      <c r="B64" s="35">
        <f t="shared" si="0"/>
        <v>0.67361111111111049</v>
      </c>
    </row>
    <row r="65" spans="2:2">
      <c r="B65" s="35">
        <f t="shared" si="0"/>
        <v>0.6770833333333327</v>
      </c>
    </row>
    <row r="66" spans="2:2">
      <c r="B66" s="35">
        <f t="shared" si="0"/>
        <v>0.68055555555555491</v>
      </c>
    </row>
    <row r="67" spans="2:2">
      <c r="B67" s="35">
        <f t="shared" si="0"/>
        <v>0.68402777777777712</v>
      </c>
    </row>
    <row r="68" spans="2:2">
      <c r="B68" s="35">
        <f t="shared" ref="B68:B86" si="1">B67+$D$2</f>
        <v>0.68749999999999933</v>
      </c>
    </row>
    <row r="69" spans="2:2">
      <c r="B69" s="35">
        <f t="shared" si="1"/>
        <v>0.69097222222222154</v>
      </c>
    </row>
    <row r="70" spans="2:2">
      <c r="B70" s="35">
        <f t="shared" si="1"/>
        <v>0.69444444444444375</v>
      </c>
    </row>
    <row r="71" spans="2:2">
      <c r="B71" s="35">
        <f t="shared" si="1"/>
        <v>0.69791666666666596</v>
      </c>
    </row>
    <row r="72" spans="2:2">
      <c r="B72" s="35">
        <f t="shared" si="1"/>
        <v>0.70138888888888817</v>
      </c>
    </row>
    <row r="73" spans="2:2">
      <c r="B73" s="35">
        <f t="shared" si="1"/>
        <v>0.70486111111111038</v>
      </c>
    </row>
    <row r="75" spans="2:2">
      <c r="B75" s="35">
        <f>B73+$D$2</f>
        <v>0.70833333333333259</v>
      </c>
    </row>
    <row r="76" spans="2:2">
      <c r="B76" s="35">
        <f t="shared" si="1"/>
        <v>0.7118055555555548</v>
      </c>
    </row>
    <row r="77" spans="2:2">
      <c r="B77" s="35">
        <f t="shared" si="1"/>
        <v>0.71527777777777701</v>
      </c>
    </row>
    <row r="78" spans="2:2">
      <c r="B78" s="35">
        <f t="shared" si="1"/>
        <v>0.71874999999999922</v>
      </c>
    </row>
    <row r="79" spans="2:2">
      <c r="B79" s="35">
        <f t="shared" si="1"/>
        <v>0.72222222222222143</v>
      </c>
    </row>
    <row r="80" spans="2:2">
      <c r="B80" s="35">
        <f t="shared" si="1"/>
        <v>0.72569444444444364</v>
      </c>
    </row>
    <row r="81" spans="2:2">
      <c r="B81" s="35">
        <f t="shared" si="1"/>
        <v>0.72916666666666585</v>
      </c>
    </row>
    <row r="82" spans="2:2">
      <c r="B82" s="35">
        <f t="shared" si="1"/>
        <v>0.73263888888888806</v>
      </c>
    </row>
    <row r="83" spans="2:2">
      <c r="B83" s="35">
        <f t="shared" si="1"/>
        <v>0.73611111111111027</v>
      </c>
    </row>
    <row r="84" spans="2:2">
      <c r="B84" s="35">
        <f t="shared" si="1"/>
        <v>0.73958333333333248</v>
      </c>
    </row>
    <row r="85" spans="2:2">
      <c r="B85" s="35">
        <f t="shared" si="1"/>
        <v>0.74305555555555469</v>
      </c>
    </row>
    <row r="86" spans="2:2">
      <c r="B86" s="35">
        <f t="shared" si="1"/>
        <v>0.7465277777777769</v>
      </c>
    </row>
    <row r="88" spans="2:2">
      <c r="B88" s="35">
        <f>B86+$D$2</f>
        <v>0.74999999999999911</v>
      </c>
    </row>
    <row r="89" spans="2:2">
      <c r="B89" s="35">
        <f t="shared" ref="B89:B99" si="2">B88+$D$2</f>
        <v>0.75347222222222132</v>
      </c>
    </row>
    <row r="90" spans="2:2">
      <c r="B90" s="35">
        <f t="shared" si="2"/>
        <v>0.75694444444444353</v>
      </c>
    </row>
    <row r="91" spans="2:2">
      <c r="B91" s="35">
        <f t="shared" si="2"/>
        <v>0.76041666666666574</v>
      </c>
    </row>
    <row r="92" spans="2:2">
      <c r="B92" s="35">
        <f t="shared" si="2"/>
        <v>0.76388888888888795</v>
      </c>
    </row>
    <row r="93" spans="2:2">
      <c r="B93" s="35">
        <f t="shared" si="2"/>
        <v>0.76736111111111016</v>
      </c>
    </row>
    <row r="94" spans="2:2">
      <c r="B94" s="35">
        <f t="shared" si="2"/>
        <v>0.77083333333333237</v>
      </c>
    </row>
    <row r="95" spans="2:2">
      <c r="B95" s="35">
        <f t="shared" si="2"/>
        <v>0.77430555555555458</v>
      </c>
    </row>
    <row r="96" spans="2:2">
      <c r="B96" s="35">
        <f t="shared" si="2"/>
        <v>0.77777777777777679</v>
      </c>
    </row>
    <row r="97" spans="2:2">
      <c r="B97" s="35">
        <f t="shared" si="2"/>
        <v>0.781249999999999</v>
      </c>
    </row>
    <row r="98" spans="2:2">
      <c r="B98" s="35">
        <f t="shared" si="2"/>
        <v>0.78472222222222121</v>
      </c>
    </row>
    <row r="99" spans="2:2">
      <c r="B99" s="35">
        <f t="shared" si="2"/>
        <v>0.78819444444444342</v>
      </c>
    </row>
    <row r="101" spans="2:2">
      <c r="B101" s="35">
        <f>B99+$D$2</f>
        <v>0.79166666666666563</v>
      </c>
    </row>
    <row r="102" spans="2:2">
      <c r="B102" s="35">
        <f t="shared" ref="B102:B112" si="3">B101+$D$2</f>
        <v>0.79513888888888784</v>
      </c>
    </row>
    <row r="103" spans="2:2">
      <c r="B103" s="35">
        <f t="shared" si="3"/>
        <v>0.79861111111111005</v>
      </c>
    </row>
    <row r="104" spans="2:2">
      <c r="B104" s="35">
        <f t="shared" si="3"/>
        <v>0.80208333333333226</v>
      </c>
    </row>
    <row r="105" spans="2:2">
      <c r="B105" s="35">
        <f t="shared" si="3"/>
        <v>0.80555555555555447</v>
      </c>
    </row>
    <row r="106" spans="2:2">
      <c r="B106" s="35">
        <f t="shared" si="3"/>
        <v>0.80902777777777668</v>
      </c>
    </row>
    <row r="107" spans="2:2">
      <c r="B107" s="35">
        <f t="shared" si="3"/>
        <v>0.81249999999999889</v>
      </c>
    </row>
    <row r="108" spans="2:2">
      <c r="B108" s="35">
        <f t="shared" si="3"/>
        <v>0.8159722222222211</v>
      </c>
    </row>
    <row r="109" spans="2:2">
      <c r="B109" s="35">
        <f t="shared" si="3"/>
        <v>0.81944444444444331</v>
      </c>
    </row>
    <row r="110" spans="2:2">
      <c r="B110" s="35">
        <f t="shared" si="3"/>
        <v>0.82291666666666552</v>
      </c>
    </row>
    <row r="111" spans="2:2">
      <c r="B111" s="35">
        <f t="shared" si="3"/>
        <v>0.82638888888888773</v>
      </c>
    </row>
    <row r="112" spans="2:2">
      <c r="B112" s="35">
        <f t="shared" si="3"/>
        <v>0.82986111111110994</v>
      </c>
    </row>
    <row r="114" spans="2:2">
      <c r="B114" s="35">
        <f>B112+$D$2</f>
        <v>0.83333333333333215</v>
      </c>
    </row>
    <row r="115" spans="2:2">
      <c r="B115" s="35">
        <f t="shared" ref="B115:B125" si="4">B114+$D$2</f>
        <v>0.83680555555555436</v>
      </c>
    </row>
    <row r="116" spans="2:2">
      <c r="B116" s="35">
        <f t="shared" si="4"/>
        <v>0.84027777777777657</v>
      </c>
    </row>
    <row r="117" spans="2:2">
      <c r="B117" s="35">
        <f t="shared" si="4"/>
        <v>0.84374999999999878</v>
      </c>
    </row>
    <row r="118" spans="2:2">
      <c r="B118" s="35">
        <f t="shared" si="4"/>
        <v>0.84722222222222099</v>
      </c>
    </row>
    <row r="119" spans="2:2">
      <c r="B119" s="35">
        <f t="shared" si="4"/>
        <v>0.8506944444444432</v>
      </c>
    </row>
    <row r="120" spans="2:2">
      <c r="B120" s="35">
        <f t="shared" si="4"/>
        <v>0.85416666666666541</v>
      </c>
    </row>
    <row r="121" spans="2:2">
      <c r="B121" s="35">
        <f t="shared" si="4"/>
        <v>0.85763888888888762</v>
      </c>
    </row>
    <row r="122" spans="2:2">
      <c r="B122" s="35">
        <f t="shared" si="4"/>
        <v>0.86111111111110983</v>
      </c>
    </row>
    <row r="123" spans="2:2">
      <c r="B123" s="35">
        <f t="shared" si="4"/>
        <v>0.86458333333333204</v>
      </c>
    </row>
    <row r="124" spans="2:2">
      <c r="B124" s="35">
        <f t="shared" si="4"/>
        <v>0.86805555555555425</v>
      </c>
    </row>
    <row r="125" spans="2:2">
      <c r="B125" s="35">
        <f t="shared" si="4"/>
        <v>0.87152777777777646</v>
      </c>
    </row>
    <row r="127" spans="2:2">
      <c r="B127" s="35">
        <f>B125+$D$2</f>
        <v>0.87499999999999867</v>
      </c>
    </row>
    <row r="128" spans="2:2">
      <c r="B128" s="35">
        <f t="shared" ref="B128:B139" si="5">B127+$D$2</f>
        <v>0.87847222222222088</v>
      </c>
    </row>
    <row r="129" spans="2:2">
      <c r="B129" s="35">
        <f t="shared" si="5"/>
        <v>0.88194444444444309</v>
      </c>
    </row>
    <row r="130" spans="2:2">
      <c r="B130" s="35">
        <f t="shared" si="5"/>
        <v>0.8854166666666653</v>
      </c>
    </row>
    <row r="131" spans="2:2">
      <c r="B131" s="35">
        <f t="shared" si="5"/>
        <v>0.88888888888888751</v>
      </c>
    </row>
    <row r="132" spans="2:2">
      <c r="B132" s="35">
        <f t="shared" si="5"/>
        <v>0.89236111111110972</v>
      </c>
    </row>
    <row r="133" spans="2:2">
      <c r="B133" s="35">
        <f t="shared" si="5"/>
        <v>0.89583333333333193</v>
      </c>
    </row>
    <row r="134" spans="2:2">
      <c r="B134" s="35">
        <f t="shared" si="5"/>
        <v>0.89930555555555414</v>
      </c>
    </row>
    <row r="135" spans="2:2">
      <c r="B135" s="35">
        <f t="shared" si="5"/>
        <v>0.90277777777777635</v>
      </c>
    </row>
    <row r="136" spans="2:2">
      <c r="B136" s="35">
        <f t="shared" si="5"/>
        <v>0.90624999999999856</v>
      </c>
    </row>
    <row r="137" spans="2:2">
      <c r="B137" s="35">
        <f t="shared" si="5"/>
        <v>0.90972222222222077</v>
      </c>
    </row>
    <row r="138" spans="2:2">
      <c r="B138" s="35">
        <f t="shared" si="5"/>
        <v>0.91319444444444298</v>
      </c>
    </row>
    <row r="139" spans="2:2">
      <c r="B139" s="35">
        <f t="shared" si="5"/>
        <v>0.91666666666666519</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Y D A A B Q S w M E F A A C A A g A g 3 O C V r X / h p a m A A A A 9 g A A A B I A H A B D b 2 5 m a W c v U G F j a 2 F n Z S 5 4 b W w g o h g A K K A U A A A A A A A A A A A A A A A A A A A A A A A A A A A A h Y / N C o J A H M R f R f b u f l k Q 8 n c 9 d I s E I Y i u i 2 2 6 p W u 4 a + u 7 d e i R e o W M s r p 1 n J n f w M z 9 e o N 0 a O r g o j q r W 5 M g h i k K l C n a v T Z l g n p 3 C B c o F Z D L 4 i R L F Y y w s f F g d Y I q 5 8 4 x I d 5 7 7 C P c d i X h l D K y y 9 a b o l K N D L W x T p p C o U 9 r / 7 + F B G x f Y w T H j M 0 x n 0 W Y A p l M y L T 5 A n z c + 0 x / T F j 2 t e s 7 J Y 4 y X O V A J g n k / U E 8 A F B L A w Q U A A I A C A C D c 4 J 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g 3 O C V i i K R 7 g O A A A A E Q A A A B M A H A B G b 3 J t d W x h c y 9 T Z W N 0 a W 9 u M S 5 t I K I Y A C i g F A A A A A A A A A A A A A A A A A A A A A A A A A A A A C t O T S 7 J z M 9 T C I b Q h t Y A U E s B A i 0 A F A A C A A g A g 3 O C V r X / h p a m A A A A 9 g A A A B I A A A A A A A A A A A A A A A A A A A A A A E N v b m Z p Z y 9 Q Y W N r Y W d l L n h t b F B L A Q I t A B Q A A g A I A I N z g l Y P y u m r p A A A A O k A A A A T A A A A A A A A A A A A A A A A A P I A A A B b Q 2 9 u d G V u d F 9 U e X B l c 1 0 u e G 1 s U E s B A i 0 A F A A C A A g A g 3 O C 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J g E A A A E A A A D Q j J 3 f A R X R E Y x 6 A M B P w p f r A Q A A A K K N N 9 t 7 7 g J L q I E 1 6 Z D y 9 E A A A A A A A g A A A A A A E G Y A A A A B A A A g A A A A I s 6 v b Z T f x p p L p R Y l 9 C 4 r u 5 6 7 V g W 0 n I 8 8 e 9 E 9 D s 4 F f u Q A A A A A D o A A A A A C A A A g A A A A e E Z s O T 3 o J n X R S 4 y g V R N B C D h p x E b w D c d 8 o C I Y 2 K i 7 / C Z Q A A A A O M t r m L u u M h K 0 J k 2 M y d x T V Q X p U C T n s O U q x n C 0 V 5 j 3 8 F W N L + Z p 3 E N Y k p r T Q u l D A a r L n i D W V d R I F 9 P P h O A 1 O G 6 a y 5 B 8 R H 1 H 5 u G 2 i S t 1 k M n e S G h A A A A A D h L v g M X o B J a Z g g D 3 4 M I T Q T c W W U T 9 f a d n j Z + p B 3 p W S t f q 6 h B q p v c d V 7 J v Z Z r i F s 0 R j F p c a z f v l J Z 2 0 W U P P H k z Z w = = < / D a t a M a s h u p > 
</file>

<file path=customXml/itemProps1.xml><?xml version="1.0" encoding="utf-8"?>
<ds:datastoreItem xmlns:ds="http://schemas.openxmlformats.org/officeDocument/2006/customXml" ds:itemID="{26BF74E4-3FD6-4A00-9DD0-289CE161985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印刷プレビュー</vt:lpstr>
      <vt:lpstr>データシート</vt:lpstr>
      <vt:lpstr>データシート２</vt:lpstr>
      <vt:lpstr>時間選択</vt:lpstr>
      <vt:lpstr>印刷プレビュー!Print_Area</vt:lpstr>
    </vt:vector>
  </TitlesOfParts>
  <Company>UNITCOM PC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akr</dc:creator>
  <cp:lastModifiedBy>akr754 akr754</cp:lastModifiedBy>
  <cp:lastPrinted>2024-02-06T14:41:08Z</cp:lastPrinted>
  <dcterms:created xsi:type="dcterms:W3CDTF">2012-09-17T05:28:21Z</dcterms:created>
  <dcterms:modified xsi:type="dcterms:W3CDTF">2025-04-29T00:23:41Z</dcterms:modified>
</cp:coreProperties>
</file>