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13_ncr:1_{A1B9A7F0-7D13-4F28-86E3-F4E707EEA70F}" xr6:coauthVersionLast="47" xr6:coauthVersionMax="47" xr10:uidLastSave="{00000000-0000-0000-0000-000000000000}"/>
  <workbookProtection workbookAlgorithmName="SHA-512" workbookHashValue="P2rs+DXKKu5YGIwPXLn+r0V5yk1jjgM1yUXvUCRhIEfnR3ZhWrSLTROwR8xUH3rHaYkuzvpcbBK1sxvYZ4Gysg==" workbookSaltValue="UQEeXIvsSFJZYj3AravLKA=="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G27" i="11" l="1"/>
  <c r="G24" i="11"/>
  <c r="G21" i="11"/>
  <c r="Q452" i="14"/>
  <c r="Q451" i="14"/>
  <c r="Q450" i="14"/>
  <c r="Q449" i="14"/>
  <c r="Q448" i="14"/>
  <c r="Q447" i="14"/>
  <c r="Q446" i="14"/>
  <c r="Q445" i="14"/>
  <c r="Q444" i="14"/>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Q459" i="14" s="1"/>
  <c r="E459" i="14"/>
  <c r="D459" i="14"/>
  <c r="I459" i="14" s="1"/>
  <c r="Q461" i="14" l="1"/>
  <c r="Q460" i="14"/>
  <c r="Q462" i="14"/>
  <c r="O458" i="14"/>
  <c r="K458" i="14"/>
  <c r="G458" i="14"/>
  <c r="F458" i="14"/>
  <c r="E458" i="14"/>
  <c r="D458" i="14"/>
  <c r="I458" i="14" s="1"/>
  <c r="O457" i="14"/>
  <c r="K457" i="14"/>
  <c r="G457" i="14"/>
  <c r="F457" i="14"/>
  <c r="E457" i="14"/>
  <c r="D457" i="14"/>
  <c r="I457" i="14" s="1"/>
  <c r="R456" i="14"/>
  <c r="Q458" i="14" l="1"/>
  <c r="Q457" i="14"/>
  <c r="X7" i="11"/>
  <c r="M384" i="14"/>
  <c r="M383" i="14"/>
  <c r="M464" i="14"/>
  <c r="P464" i="14" s="1"/>
  <c r="M463" i="14"/>
  <c r="P463" i="14" s="1"/>
  <c r="E464" i="14" l="1"/>
  <c r="E463"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84" i="14"/>
  <c r="K384" i="14" s="1"/>
  <c r="N383" i="14"/>
  <c r="K383" i="14" s="1"/>
  <c r="E41" i="11"/>
  <c r="E42" i="11" s="1"/>
  <c r="E43" i="11" s="1"/>
  <c r="E44" i="11" s="1"/>
  <c r="H9" i="11"/>
  <c r="AA38" i="11"/>
  <c r="AA28" i="11"/>
  <c r="AA18" i="11"/>
  <c r="N463" i="14" l="1"/>
  <c r="D463" i="14"/>
  <c r="I463" i="14" s="1"/>
  <c r="N464" i="14"/>
  <c r="D464" i="14"/>
  <c r="I464" i="14" s="1"/>
  <c r="G383" i="14"/>
  <c r="F383" i="14"/>
  <c r="V383" i="14" s="1"/>
  <c r="G384" i="14"/>
  <c r="F384" i="14"/>
  <c r="V384" i="14" s="1"/>
  <c r="D383" i="14"/>
  <c r="E383" i="14"/>
  <c r="D384" i="14"/>
  <c r="E384" i="14"/>
  <c r="H26" i="15"/>
  <c r="H31" i="15" s="1"/>
  <c r="H16" i="15"/>
  <c r="H21" i="15" s="1"/>
  <c r="H6" i="15"/>
  <c r="H11" i="15" s="1"/>
  <c r="O9" i="11"/>
  <c r="O464" i="14" l="1"/>
  <c r="K464" i="14"/>
  <c r="G464" i="14"/>
  <c r="F464" i="14"/>
  <c r="Q464" i="14" s="1"/>
  <c r="G463" i="14"/>
  <c r="F463" i="14"/>
  <c r="Q463" i="14" s="1"/>
  <c r="K463" i="14"/>
  <c r="O463" i="14"/>
  <c r="I384" i="14"/>
  <c r="U384" i="14"/>
  <c r="I383" i="14"/>
  <c r="U383" i="14"/>
  <c r="R467" i="14"/>
  <c r="W50" i="11"/>
  <c r="R47" i="15" l="1"/>
  <c r="W9" i="15"/>
  <c r="V9" i="15"/>
  <c r="U9" i="15"/>
  <c r="T9" i="15"/>
  <c r="S9" i="15"/>
  <c r="R9" i="15"/>
  <c r="Q9" i="15"/>
  <c r="P9" i="15"/>
  <c r="O9" i="15"/>
  <c r="N9" i="15"/>
  <c r="M9" i="15"/>
  <c r="L9" i="15"/>
  <c r="K9" i="15"/>
  <c r="J9" i="15"/>
  <c r="I9" i="15"/>
  <c r="H9" i="15"/>
  <c r="G9" i="15"/>
  <c r="F9" i="15"/>
  <c r="E9" i="15"/>
  <c r="D9" i="15"/>
  <c r="B9" i="15"/>
  <c r="S27" i="15" l="1"/>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P453" i="14" l="1"/>
  <c r="P436" i="14"/>
  <c r="O416" i="14"/>
  <c r="O453" i="14"/>
  <c r="O436" i="14"/>
  <c r="Q410" i="14"/>
  <c r="I453" i="14"/>
  <c r="K436" i="14"/>
  <c r="O410" i="14"/>
  <c r="M453" i="14"/>
  <c r="N436" i="14"/>
  <c r="P410" i="14"/>
  <c r="E453" i="14"/>
  <c r="G436" i="14"/>
  <c r="Q407" i="14"/>
  <c r="O407" i="14"/>
  <c r="Q436" i="14"/>
  <c r="H407" i="14"/>
  <c r="D453" i="14"/>
  <c r="F436" i="14"/>
  <c r="P407" i="14"/>
  <c r="Q416" i="14"/>
  <c r="Q453" i="14"/>
  <c r="P416" i="14"/>
  <c r="F115" i="14"/>
  <c r="G115" i="14"/>
  <c r="P401" i="14"/>
  <c r="F401" i="14"/>
  <c r="L401" i="14"/>
  <c r="G401" i="14"/>
  <c r="O401" i="14"/>
  <c r="E401" i="14"/>
  <c r="K401" i="14"/>
  <c r="Q401" i="14"/>
  <c r="N401" i="14"/>
  <c r="D401" i="14"/>
  <c r="M401" i="14"/>
  <c r="I401" i="14"/>
  <c r="M400" i="14"/>
  <c r="Q399" i="14"/>
  <c r="G399" i="14"/>
  <c r="P400" i="14"/>
  <c r="L400" i="14"/>
  <c r="P399" i="14"/>
  <c r="F399" i="14"/>
  <c r="F400" i="14"/>
  <c r="K399" i="14"/>
  <c r="I399" i="14"/>
  <c r="K400" i="14"/>
  <c r="O399" i="14"/>
  <c r="E399" i="14"/>
  <c r="O400" i="14"/>
  <c r="I400" i="14"/>
  <c r="N399" i="14"/>
  <c r="D399" i="14"/>
  <c r="L399" i="14"/>
  <c r="E400" i="14"/>
  <c r="D400" i="14"/>
  <c r="Q400" i="14"/>
  <c r="G400" i="14"/>
  <c r="M399" i="14"/>
  <c r="N400" i="14"/>
  <c r="Q337" i="14"/>
  <c r="G337" i="14"/>
  <c r="N322" i="14"/>
  <c r="I316" i="14"/>
  <c r="N311" i="14"/>
  <c r="K310" i="14"/>
  <c r="P306" i="14"/>
  <c r="P305" i="14"/>
  <c r="D285" i="14"/>
  <c r="P277" i="14"/>
  <c r="P276" i="14"/>
  <c r="P260" i="14"/>
  <c r="P256" i="14"/>
  <c r="D227" i="14"/>
  <c r="E190" i="14"/>
  <c r="D173" i="14"/>
  <c r="I141" i="14"/>
  <c r="L122" i="14"/>
  <c r="P115" i="14"/>
  <c r="L107" i="14"/>
  <c r="P106" i="14"/>
  <c r="F106" i="14"/>
  <c r="L97" i="14"/>
  <c r="P95" i="14"/>
  <c r="F95" i="14"/>
  <c r="L89" i="14"/>
  <c r="Q78" i="14"/>
  <c r="E337" i="14"/>
  <c r="G311" i="14"/>
  <c r="M305" i="14"/>
  <c r="P280" i="14"/>
  <c r="N276" i="14"/>
  <c r="Q227" i="14"/>
  <c r="Q173" i="14"/>
  <c r="I122" i="14"/>
  <c r="D115" i="14"/>
  <c r="N106" i="14"/>
  <c r="N95" i="14"/>
  <c r="O78" i="14"/>
  <c r="B276" i="14"/>
  <c r="D122" i="14"/>
  <c r="D97" i="14"/>
  <c r="M316" i="14"/>
  <c r="Q277" i="14"/>
  <c r="E173" i="14"/>
  <c r="Q106" i="14"/>
  <c r="M89" i="14"/>
  <c r="P337" i="14"/>
  <c r="F337" i="14"/>
  <c r="K322" i="14"/>
  <c r="E316" i="14"/>
  <c r="K311" i="14"/>
  <c r="G310" i="14"/>
  <c r="O306" i="14"/>
  <c r="O305" i="14"/>
  <c r="Q285" i="14"/>
  <c r="Q280" i="14"/>
  <c r="O277" i="14"/>
  <c r="O276" i="14"/>
  <c r="O260" i="14"/>
  <c r="O256" i="14"/>
  <c r="Q224" i="14"/>
  <c r="D190" i="14"/>
  <c r="E170" i="14"/>
  <c r="E141" i="14"/>
  <c r="K122" i="14"/>
  <c r="O115" i="14"/>
  <c r="E115" i="14"/>
  <c r="K107" i="14"/>
  <c r="O106" i="14"/>
  <c r="E106" i="14"/>
  <c r="K97" i="14"/>
  <c r="O95" i="14"/>
  <c r="E95" i="14"/>
  <c r="K89" i="14"/>
  <c r="P78" i="14"/>
  <c r="O337" i="14"/>
  <c r="D316" i="14"/>
  <c r="F310" i="14"/>
  <c r="M306" i="14"/>
  <c r="P285" i="14"/>
  <c r="N277" i="14"/>
  <c r="M260" i="14"/>
  <c r="P224" i="14"/>
  <c r="D170" i="14"/>
  <c r="N115" i="14"/>
  <c r="I107" i="14"/>
  <c r="D106" i="14"/>
  <c r="D95" i="14"/>
  <c r="I285" i="14"/>
  <c r="M141" i="14"/>
  <c r="I106" i="14"/>
  <c r="D89" i="14"/>
  <c r="N310" i="14"/>
  <c r="Q305" i="14"/>
  <c r="Q276" i="14"/>
  <c r="I190" i="14"/>
  <c r="Q115" i="14"/>
  <c r="Q95" i="14"/>
  <c r="G322" i="14"/>
  <c r="D141" i="14"/>
  <c r="I97" i="14"/>
  <c r="I89" i="14"/>
  <c r="I227" i="14"/>
  <c r="D107" i="14"/>
  <c r="O311" i="14"/>
  <c r="Q256" i="14"/>
  <c r="M107" i="14"/>
  <c r="R80"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F107" i="14"/>
  <c r="F97" i="14"/>
  <c r="L95" i="14"/>
  <c r="F89" i="14"/>
  <c r="E122" i="14"/>
  <c r="K106" i="14"/>
  <c r="K95" i="14"/>
  <c r="O77" i="14"/>
  <c r="P322" i="14"/>
  <c r="P311" i="14"/>
  <c r="D306" i="14"/>
  <c r="B277" i="14"/>
  <c r="D224" i="14"/>
  <c r="I115" i="14"/>
  <c r="N89" i="14"/>
  <c r="O322" i="14"/>
  <c r="E285" i="14"/>
  <c r="L141" i="14"/>
  <c r="G106" i="14"/>
  <c r="M337" i="14"/>
  <c r="R323" i="14"/>
  <c r="Q316" i="14"/>
  <c r="D313" i="14"/>
  <c r="Q310" i="14"/>
  <c r="P307" i="14"/>
  <c r="I306" i="14"/>
  <c r="I305" i="14"/>
  <c r="M285" i="14"/>
  <c r="Q279" i="14"/>
  <c r="G277" i="14"/>
  <c r="G276" i="14"/>
  <c r="I260" i="14"/>
  <c r="O227" i="14"/>
  <c r="H224" i="14"/>
  <c r="O173" i="14"/>
  <c r="P141" i="14"/>
  <c r="P122" i="14"/>
  <c r="F122" i="14"/>
  <c r="L115" i="14"/>
  <c r="P107" i="14"/>
  <c r="L106" i="14"/>
  <c r="P97" i="14"/>
  <c r="P89" i="14"/>
  <c r="P77" i="14"/>
  <c r="O107" i="14"/>
  <c r="O97" i="14"/>
  <c r="O89" i="14"/>
  <c r="K337" i="14"/>
  <c r="J307" i="14"/>
  <c r="O279" i="14"/>
  <c r="I173" i="14"/>
  <c r="N107" i="14"/>
  <c r="I95" i="14"/>
  <c r="Q306" i="14"/>
  <c r="Q260" i="14"/>
  <c r="M122" i="14"/>
  <c r="M97" i="14"/>
  <c r="L337" i="14"/>
  <c r="Q322" i="14"/>
  <c r="P316" i="14"/>
  <c r="Q311" i="14"/>
  <c r="P310" i="14"/>
  <c r="O307" i="14"/>
  <c r="E306" i="14"/>
  <c r="E305" i="14"/>
  <c r="L285" i="14"/>
  <c r="P279" i="14"/>
  <c r="F277" i="14"/>
  <c r="F276" i="14"/>
  <c r="E260" i="14"/>
  <c r="M227" i="14"/>
  <c r="E224" i="14"/>
  <c r="M173" i="14"/>
  <c r="O141" i="14"/>
  <c r="O122" i="14"/>
  <c r="K115" i="14"/>
  <c r="E107" i="14"/>
  <c r="E97" i="14"/>
  <c r="E89" i="14"/>
  <c r="O316" i="14"/>
  <c r="O310" i="14"/>
  <c r="D305" i="14"/>
  <c r="D260" i="14"/>
  <c r="N122" i="14"/>
  <c r="N97" i="14"/>
  <c r="I337" i="14"/>
  <c r="E227" i="14"/>
  <c r="G95" i="14"/>
  <c r="P402" i="14"/>
  <c r="F397" i="14"/>
  <c r="O402" i="14"/>
  <c r="E402" i="14"/>
  <c r="O397" i="14"/>
  <c r="E397" i="14"/>
  <c r="K396" i="14"/>
  <c r="O395" i="14"/>
  <c r="E395" i="14"/>
  <c r="K394" i="14"/>
  <c r="N402" i="14"/>
  <c r="D402" i="14"/>
  <c r="N397" i="14"/>
  <c r="D397" i="14"/>
  <c r="I396" i="14"/>
  <c r="N395" i="14"/>
  <c r="D395" i="14"/>
  <c r="I394" i="14"/>
  <c r="P396" i="14"/>
  <c r="P394" i="14"/>
  <c r="I397" i="14"/>
  <c r="N394" i="14"/>
  <c r="F395" i="14"/>
  <c r="M402" i="14"/>
  <c r="M397" i="14"/>
  <c r="Q396" i="14"/>
  <c r="G396" i="14"/>
  <c r="M395" i="14"/>
  <c r="Q394" i="14"/>
  <c r="G394" i="14"/>
  <c r="L402" i="14"/>
  <c r="L397" i="14"/>
  <c r="F396" i="14"/>
  <c r="F394" i="14"/>
  <c r="I395" i="14"/>
  <c r="L396" i="14"/>
  <c r="L395" i="14"/>
  <c r="K402" i="14"/>
  <c r="K397" i="14"/>
  <c r="O396" i="14"/>
  <c r="E396" i="14"/>
  <c r="K395" i="14"/>
  <c r="O394" i="14"/>
  <c r="E394" i="14"/>
  <c r="I402" i="14"/>
  <c r="N396" i="14"/>
  <c r="D396" i="14"/>
  <c r="D394" i="14"/>
  <c r="F402" i="14"/>
  <c r="P397" i="14"/>
  <c r="L394" i="14"/>
  <c r="Q402" i="14"/>
  <c r="G402" i="14"/>
  <c r="Q397" i="14"/>
  <c r="G397" i="14"/>
  <c r="M396" i="14"/>
  <c r="Q395" i="14"/>
  <c r="G395" i="14"/>
  <c r="M394" i="14"/>
  <c r="P395" i="14"/>
  <c r="N28" i="11"/>
  <c r="L6" i="15" l="1"/>
  <c r="L11" i="15" s="1"/>
  <c r="K21" i="11" s="1"/>
  <c r="L3" i="15"/>
  <c r="N16" i="15"/>
  <c r="N21" i="15" s="1"/>
  <c r="G16" i="15"/>
  <c r="F16" i="15"/>
  <c r="V21" i="15" s="1"/>
  <c r="F21" i="15" l="1"/>
  <c r="AE29" i="11"/>
  <c r="AC29" i="11" s="1"/>
  <c r="N25" i="11" s="1"/>
  <c r="K16" i="15" l="1"/>
  <c r="A12" i="14"/>
  <c r="K21" i="15" l="1"/>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<sst xmlns="http://schemas.openxmlformats.org/spreadsheetml/2006/main" count="2228" uniqueCount="687">
  <si>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</si>
  <si>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</si>
  <si>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</si>
  <si>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</si>
  <si>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</si>
  <si>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</si>
  <si>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</si>
  <si>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</si>
  <si>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</si>
  <si>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</si>
  <si>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</si>
  <si>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</si>
  <si>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</si>
  <si>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</si>
  <si>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</si>
  <si>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</si>
  <si>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</si>
  <si>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</si>
  <si>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</si>
  <si>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</si>
  <si>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</si>
  <si>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</si>
  <si>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</si>
  <si>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</si>
  <si>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</si>
  <si>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</si>
  <si>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</si>
  <si>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</si>
  <si>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</si>
  <si>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</si>
  <si>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</si>
  <si>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</si>
  <si>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</si>
  <si>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</si>
  <si>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</si>
  <si>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</si>
  <si>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</si>
  <si>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</si>
  <si>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</si>
  <si>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</si>
  <si>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</si>
  <si>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</si>
  <si>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</si>
  <si>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</si>
  <si>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</si>
  <si>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</si>
  <si>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</si>
  <si>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</si>
  <si>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</si>
  <si>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</si>
  <si>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</si>
  <si>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</si>
  <si>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</si>
  <si>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</si>
  <si>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</si>
  <si>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</si>
  <si>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</si>
  <si>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</si>
  <si>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</si>
  <si>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</si>
  <si>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</si>
  <si>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</si>
  <si>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</si>
  <si>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</si>
  <si>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</si>
  <si>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</si>
  <si>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</si>
  <si>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</si>
  <si>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</si>
  <si>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</si>
  <si>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</si>
  <si>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</si>
  <si>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</si>
  <si>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</si>
  <si>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</si>
  <si>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</si>
  <si>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</si>
  <si>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</si>
  <si>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</si>
  <si>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</si>
  <si>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</si>
  <si>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</si>
  <si>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</si>
  <si>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</si>
  <si>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</si>
  <si>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</si>
  <si>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</si>
  <si>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</si>
  <si>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</si>
  <si>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</si>
  <si>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</si>
  <si>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</si>
  <si>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</si>
  <si>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</si>
  <si>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</si>
  <si>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</si>
  <si>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</si>
  <si>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</si>
  <si>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</si>
  <si>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</si>
  <si>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</si>
  <si>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</si>
  <si>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</si>
  <si>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</si>
  <si>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</si>
  <si>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</si>
  <si>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</si>
  <si>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</si>
  <si>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</si>
  <si>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</si>
  <si>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</si>
  <si>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</si>
  <si>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</si>
  <si>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</si>
  <si>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</si>
  <si>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</si>
  <si>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</si>
  <si>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</si>
  <si>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</si>
  <si>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</si>
  <si>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</si>
  <si>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</si>
  <si>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</si>
  <si>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</si>
  <si>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</si>
  <si>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</si>
  <si>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</si>
  <si>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</si>
  <si>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</si>
  <si>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</si>
  <si>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</si>
  <si>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</si>
  <si>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</si>
  <si>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</si>
  <si>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</si>
  <si>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</si>
  <si>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</si>
  <si>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</si>
  <si>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</si>
  <si>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</si>
  <si>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</si>
  <si>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</si>
  <si>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</si>
  <si>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</si>
  <si>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</si>
  <si>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</si>
  <si>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</si>
  <si>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</si>
  <si>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</si>
  <si>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</si>
  <si>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</si>
  <si>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</si>
  <si>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</si>
  <si>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</si>
  <si>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</si>
  <si>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</si>
  <si>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</si>
  <si>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</si>
  <si>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</si>
  <si>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</si>
  <si>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</si>
  <si>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</si>
  <si>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</si>
  <si>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</si>
  <si>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</si>
  <si>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</si>
  <si>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</si>
  <si>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</si>
  <si>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</si>
  <si>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</si>
  <si>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</si>
  <si>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</si>
  <si>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</si>
  <si>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</si>
  <si>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</si>
  <si>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</si>
  <si>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</si>
  <si>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</si>
  <si>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</si>
  <si>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</si>
  <si>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</si>
  <si>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</si>
  <si>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</si>
  <si>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</si>
  <si>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</si>
  <si>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</si>
  <si>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</si>
  <si>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</si>
  <si>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</si>
  <si>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</si>
  <si>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</si>
  <si>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</si>
  <si>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</si>
  <si>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</si>
  <si>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</si>
  <si>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</si>
  <si>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</si>
  <si>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</si>
  <si>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</si>
  <si>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</si>
  <si>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</si>
  <si>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</si>
  <si>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</si>
  <si>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</si>
  <si>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</si>
  <si>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</si>
  <si>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</si>
  <si>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</si>
  <si>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</si>
  <si>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</si>
  <si>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</si>
  <si>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</si>
  <si>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</si>
  <si>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</si>
  <si>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</si>
  <si>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</si>
  <si>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</si>
  <si>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</si>
  <si>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</si>
  <si>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</si>
  <si>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</si>
  <si>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</si>
  <si>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</si>
  <si>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</si>
  <si>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</si>
  <si>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</si>
  <si>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</si>
  <si>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</si>
  <si>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</si>
  <si>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</si>
  <si>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</si>
  <si>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</si>
  <si>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</si>
  <si>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</si>
  <si>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</si>
  <si>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</si>
  <si>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</si>
  <si>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</si>
  <si>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</si>
  <si>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</si>
  <si>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</si>
  <si>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</si>
  <si>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</si>
  <si>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</si>
  <si>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</si>
  <si>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</si>
  <si>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</si>
  <si>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</si>
  <si>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</si>
  <si>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</si>
  <si>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</si>
  <si>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</si>
  <si>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</si>
  <si>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</si>
  <si>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</si>
  <si>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</si>
  <si>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</si>
  <si>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</si>
  <si>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</si>
  <si>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</si>
  <si>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</si>
  <si>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</si>
  <si>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</si>
  <si>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</si>
  <si>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</si>
  <si>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</si>
  <si>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</si>
  <si>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</si>
  <si>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</si>
  <si>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</si>
  <si>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</si>
  <si>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</si>
  <si>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</si>
  <si>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</si>
  <si>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</si>
  <si>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</si>
  <si>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</si>
  <si>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</si>
  <si>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</si>
  <si>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</si>
  <si>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</si>
  <si>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</si>
  <si>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</si>
  <si>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</si>
  <si>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</si>
  <si>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</si>
  <si>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</si>
  <si>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</si>
  <si>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</si>
  <si>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</si>
  <si>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</si>
  <si>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</si>
  <si>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</si>
  <si>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</si>
  <si>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</si>
  <si>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</si>
  <si>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</si>
  <si>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</si>
  <si>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</si>
  <si>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</si>
  <si>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</si>
  <si>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</si>
  <si>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</si>
  <si>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</si>
  <si>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</si>
  <si>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</si>
  <si>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</si>
  <si>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</si>
  <si>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</si>
  <si>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</si>
  <si>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</si>
  <si>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</si>
  <si>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</si>
  <si>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</si>
  <si>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</si>
  <si>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</si>
  <si>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</si>
  <si>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</si>
  <si>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</si>
  <si>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</si>
  <si>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</si>
  <si>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</si>
  <si>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</si>
  <si>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</si>
  <si>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</si>
  <si>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</si>
  <si>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</si>
  <si>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</si>
  <si>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</si>
  <si>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</si>
  <si>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</si>
  <si>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</si>
  <si>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</si>
  <si>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</si>
  <si>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</si>
  <si>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</si>
  <si>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</si>
  <si>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</si>
  <si>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</si>
  <si>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</si>
  <si>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</si>
  <si>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</si>
  <si>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</si>
  <si>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</si>
  <si>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</si>
  <si>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</si>
  <si>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</si>
  <si>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</si>
  <si>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</si>
  <si>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</si>
  <si>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</si>
  <si>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</si>
  <si>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</si>
  <si>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</si>
  <si>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</si>
  <si>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</si>
  <si>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</si>
  <si>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</si>
  <si>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</si>
  <si>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</si>
  <si>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</si>
  <si>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</si>
  <si>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</si>
  <si>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</si>
  <si>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</si>
  <si>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</si>
  <si>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</si>
  <si>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</si>
  <si>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</si>
  <si>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</si>
  <si>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</si>
  <si>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</si>
  <si>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</si>
  <si>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</si>
  <si>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</si>
  <si>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</si>
  <si>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</si>
  <si>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</si>
  <si>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</si>
  <si>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</si>
  <si>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</si>
  <si>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</si>
  <si>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</si>
  <si>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</si>
  <si>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</si>
  <si>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</si>
  <si>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</si>
  <si>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</si>
  <si>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</si>
  <si>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</si>
  <si>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</si>
  <si>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</si>
  <si>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</si>
  <si>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</si>
  <si>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</si>
  <si>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</si>
  <si>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</si>
  <si>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</si>
  <si>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</si>
  <si>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</si>
  <si>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</si>
  <si>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</si>
  <si>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</si>
  <si>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</si>
  <si>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</si>
  <si>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</si>
  <si>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</si>
  <si>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</si>
  <si>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</si>
  <si>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</si>
  <si>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</si>
  <si>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</si>
  <si>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</si>
  <si>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</si>
  <si>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</si>
  <si>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</si>
  <si>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</si>
  <si>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</si>
  <si>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</si>
  <si>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</si>
  <si>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</si>
  <si>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</si>
  <si>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</si>
  <si>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</si>
  <si>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</si>
  <si>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</si>
  <si>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</si>
  <si>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</si>
  <si>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</si>
  <si>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</si>
  <si>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</si>
  <si>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</si>
  <si>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</si>
  <si>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</si>
  <si>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</si>
  <si>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</si>
  <si>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</si>
  <si>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</si>
  <si>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</si>
  <si>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</si>
  <si>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</si>
  <si>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</si>
  <si>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</si>
  <si>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</si>
  <si>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</si>
  <si>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</si>
  <si>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</si>
  <si>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</si>
  <si>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</si>
  <si>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</si>
  <si>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</si>
  <si>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</si>
  <si>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</si>
  <si>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</si>
  <si>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</si>
  <si>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</si>
  <si>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</si>
  <si>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</si>
  <si>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</si>
  <si>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</si>
  <si>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</si>
  <si>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</si>
  <si>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</si>
  <si>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</si>
  <si>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</si>
  <si>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</si>
  <si>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</si>
  <si>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</si>
  <si>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</si>
  <si>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</si>
  <si>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</si>
  <si>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</si>
  <si>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</si>
  <si>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</si>
  <si>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</si>
  <si>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</si>
  <si>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</si>
  <si>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</si>
  <si>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</si>
  <si>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</si>
  <si>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</si>
  <si>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</si>
  <si>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</si>
  <si>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</si>
  <si>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</si>
  <si>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</si>
  <si>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</si>
  <si>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</si>
  <si>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</si>
  <si>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</si>
  <si>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</si>
  <si>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</si>
  <si>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</si>
  <si>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</si>
  <si>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</si>
  <si>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</si>
  <si>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</si>
  <si>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</si>
  <si>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</si>
  <si>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</si>
  <si>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</si>
  <si>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</si>
  <si>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</si>
  <si>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</si>
  <si>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</si>
  <si>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</si>
  <si>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</si>
  <si>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</si>
  <si>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</si>
  <si>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</si>
  <si>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</si>
  <si>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</si>
  <si>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</si>
  <si>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</si>
  <si>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</si>
  <si>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</si>
  <si>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</si>
  <si>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</si>
  <si>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</si>
  <si>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</si>
  <si>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</si>
  <si>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</si>
  <si>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</si>
  <si>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</si>
  <si>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</si>
  <si>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</si>
  <si>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</si>
  <si>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</si>
  <si>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</si>
  <si>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</si>
  <si>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</si>
  <si>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</si>
  <si>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</si>
  <si>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</si>
  <si>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</si>
  <si>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</si>
  <si>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</si>
  <si>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</si>
  <si>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</si>
  <si>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</si>
  <si>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</si>
  <si>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</si>
  <si>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</si>
  <si>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</si>
  <si>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</si>
  <si>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</si>
  <si>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</si>
  <si>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</si>
  <si>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</si>
  <si>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</si>
  <si>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</si>
  <si>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</si>
  <si>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</si>
  <si>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</si>
  <si>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</si>
  <si>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</si>
  <si>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</si>
  <si>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</si>
  <si>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</si>
  <si>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</si>
  <si>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</si>
  <si>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</si>
  <si>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</si>
  <si>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</si>
  <si>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</si>
  <si>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</si>
  <si>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</si>
  <si>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</si>
  <si>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</si>
  <si>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</si>
  <si>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</si>
  <si>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</si>
  <si>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</si>
  <si>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</si>
  <si>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</si>
  <si>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</si>
  <si>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</si>
  <si>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</si>
  <si>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</si>
  <si>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</si>
  <si>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</si>
  <si>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</si>
  <si>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</si>
  <si>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</si>
  <si>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</si>
  <si>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</si>
  <si>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</si>
  <si>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</si>
  <si>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</si>
  <si>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</si>
  <si>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</si>
  <si>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</si>
  <si>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</si>
  <si>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</si>
  <si>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</si>
  <si>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</si>
  <si>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</si>
  <si>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２-１　5:45-7:45</t>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</si>
  <si>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</si>
  <si>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</si>
  <si>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</si>
  <si>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</si>
  <si>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</si>
  <si>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</si>
  <si>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</si>
  <si>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</si>
  <si>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</si>
  <si>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</si>
  <si>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</si>
  <si>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</si>
  <si>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</si>
  <si>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</si>
  <si>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</si>
  <si>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</si>
  <si>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</si>
  <si>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</si>
  <si>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</si>
  <si>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</si>
  <si>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</si>
  <si>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</si>
  <si>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</si>
  <si>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</si>
  <si>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</si>
  <si>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</si>
  <si>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</si>
  <si>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</si>
  <si>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</si>
  <si>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</si>
  <si>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</si>
  <si>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</si>
  <si>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</si>
  <si>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</si>
  <si>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</si>
  <si>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</si>
  <si>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</si>
  <si>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</si>
  <si>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</si>
  <si>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</si>
  <si>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</si>
  <si>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</si>
  <si>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</si>
  <si>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</si>
  <si>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</si>
  <si>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</si>
  <si>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</si>
  <si>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</si>
  <si>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</si>
  <si>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</si>
  <si>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</si>
  <si>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</si>
  <si>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</si>
  <si>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</si>
  <si>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</si>
  <si>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</si>
  <si>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</si>
  <si>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</si>
  <si>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</si>
  <si>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</si>
  <si>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</si>
  <si>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</si>
  <si>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</si>
  <si>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</si>
  <si>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</si>
  <si>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</si>
  <si>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</si>
  <si>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</si>
  <si>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</si>
  <si>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</si>
  <si>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</si>
  <si>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19:45-22:45</t>
    <phoneticPr fontId="1"/>
  </si>
  <si>
    <t>２-２　20:55-22:45</t>
    <phoneticPr fontId="1"/>
  </si>
  <si>
    <t>２-４　7:58-10:20</t>
    <phoneticPr fontId="1"/>
  </si>
  <si>
    <t>２-４　15:12-17:33</t>
    <phoneticPr fontId="1"/>
  </si>
  <si>
    <t>２-６　15:18-17:48</t>
    <phoneticPr fontId="1"/>
  </si>
  <si>
    <t>桟敷　健太</t>
    <rPh sb="0" eb="2">
      <t>サジキ</t>
    </rPh>
    <rPh sb="3" eb="5">
      <t>ケンタ</t>
    </rPh>
    <phoneticPr fontId="1"/>
  </si>
  <si>
    <t>桟敷　秀夫</t>
    <rPh sb="0" eb="2">
      <t>サジキ</t>
    </rPh>
    <rPh sb="3" eb="5">
      <t>ヒデオ</t>
    </rPh>
    <phoneticPr fontId="1"/>
  </si>
  <si>
    <t>２-２　15:15-17:33</t>
    <phoneticPr fontId="1"/>
  </si>
  <si>
    <t>２-４　19:25-21:15</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</si>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</sst>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104775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66675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6</xdr:col>
          <xdr:colOff>66675</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19</xdr:col>
          <xdr:colOff>257175</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104775</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114300</xdr:colOff>
          <xdr:row>31</xdr:row>
          <xdr:rowOff>28575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5</xdr:col>
          <xdr:colOff>152400</xdr:colOff>
          <xdr:row>35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6</xdr:col>
          <xdr:colOff>47625</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28575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5</xdr:col>
          <xdr:colOff>104775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85725</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104775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114300</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E4" zoomScaleNormal="100" workbookViewId="0">
      <selection activeCell="V19" sqref="V1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10" width="0.7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平日</v>
      </c>
      <c r="Z6" s="157" t="s">
        <v>171</v>
      </c>
      <c r="AA6" s="157"/>
      <c r="AB6" s="43" t="s">
        <v>59</v>
      </c>
    </row>
    <row r="7" spans="1:32" ht="15.75" customHeight="1">
      <c r="A7" s="112"/>
      <c r="B7" s="184">
        <f ca="1">IF(AB6="YES","",IF(OR(X6="本　日",X6="明　日",X6="明後日",X6="３日後",X6="４日後",X6="５日後",X6="６日後"),YEAR(データシート!A1),""))</f>
        <v>2026</v>
      </c>
      <c r="C7" s="184"/>
      <c r="D7" s="184"/>
      <c r="E7" s="184"/>
      <c r="F7" s="185">
        <f ca="1">IF(AB6="YES","",IF(OR(X6="本　日",X6="明　日",X6="明後日",X6="３日後",X6="４日後",X6="５日後",X6="６日後"),MONTH(データシート!A1),""))</f>
        <v>1</v>
      </c>
      <c r="G7" s="185"/>
      <c r="H7" s="185" t="str">
        <f ca="1">IF(AB6="YES","",IF(OR(X6="本　日",X6="明　日",X6="明後日",X6="３日後",X6="４日後",X6="５日後",X6="６日後"),DAY(データシート!A1),""))&amp;"  "</f>
        <v xml:space="preserve">30  </v>
      </c>
      <c r="I7" s="185"/>
      <c r="J7" s="185"/>
      <c r="K7" s="185"/>
      <c r="L7" s="112"/>
      <c r="M7" s="112"/>
      <c r="N7" s="113"/>
      <c r="O7" s="112"/>
      <c r="P7" s="112"/>
      <c r="Q7" s="112"/>
      <c r="R7" s="112"/>
      <c r="S7" s="112"/>
      <c r="T7" s="112"/>
      <c r="U7" s="112"/>
      <c r="V7" s="17"/>
      <c r="W7" s="19" t="s">
        <v>12</v>
      </c>
      <c r="X7" s="145"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VALUE(VLOOKUP($X$8,データシート!$B$69:'データシート'!$X$676,8,FALSE))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5"/>
      <c r="Y8" s="165"/>
      <c r="AA8" s="141" t="s">
        <v>235</v>
      </c>
      <c r="AC8" s="97" t="e">
        <f ca="1">IF(AE8&lt;AF8," ","")</f>
        <v>#N/A</v>
      </c>
      <c r="AD8" s="97" t="s">
        <v>101</v>
      </c>
      <c r="AE8" s="96" t="e">
        <f ca="1">VALUE(VLOOKUP($X$8,データシート!$B$69:'データシート'!$X$676,10,FALSE))</f>
        <v>#N/A</v>
      </c>
      <c r="AF8" s="97">
        <f>VALUE((データシート!$K$65))</f>
        <v>0.41666666666666669</v>
      </c>
    </row>
    <row r="9" spans="1:32" ht="21"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VALUE(VLOOKUP($X$8,データシート!$B$69:'データシート'!$X$676,12,FALSE))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VALUE(VLOOKUP($X$8,データシート!$B$69:'データシート'!$X$676,13,FALSE))</f>
        <v>#N/A</v>
      </c>
      <c r="AF10" s="97">
        <f>VALUE((データシート!$K$65))</f>
        <v>0.41666666666666669</v>
      </c>
    </row>
    <row r="11" spans="1:32" ht="21" customHeight="1">
      <c r="A11" s="112"/>
      <c r="B11" s="112"/>
      <c r="C11" s="112"/>
      <c r="D11" s="112"/>
      <c r="E11" s="112"/>
      <c r="F11" s="115"/>
      <c r="G11" s="188" t="e">
        <f>IF(データシート２!D47="",データシート２!D3,データシート２!D47)</f>
        <v>#VALUE!</v>
      </c>
      <c r="H11" s="188"/>
      <c r="I11" s="188"/>
      <c r="J11" s="188"/>
      <c r="K11" s="188"/>
      <c r="L11" s="112"/>
      <c r="M11" s="112"/>
      <c r="N11" s="112"/>
      <c r="O11" s="112"/>
      <c r="P11" s="112"/>
      <c r="Q11" s="116"/>
      <c r="R11" s="169" t="e">
        <f>IF(データシート２!D47="",データシート２!F3,データシート２!F47)</f>
        <v>#VALUE!</v>
      </c>
      <c r="S11" s="169"/>
      <c r="T11" s="169"/>
      <c r="U11" s="116"/>
      <c r="W11" s="18" t="s">
        <v>55</v>
      </c>
      <c r="Y11" s="43" t="s">
        <v>59</v>
      </c>
      <c r="AC11" s="97" t="e">
        <f ca="1">IF(AE11&lt;AF11," ","")</f>
        <v>#N/A</v>
      </c>
      <c r="AD11" s="97" t="s">
        <v>104</v>
      </c>
      <c r="AE11" s="96" t="e">
        <f ca="1">VALUE((VLOOKUP($X$8,データシート!$B$69:'データシート'!$X$676,14,FALSE)))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88" t="e">
        <f>IF(データシート２!D47="",データシート２!D3,データシート２!D47)</f>
        <v>#VALUE!</v>
      </c>
      <c r="H13" s="188"/>
      <c r="I13" s="188"/>
      <c r="J13" s="188"/>
      <c r="K13" s="188"/>
      <c r="L13" s="112"/>
      <c r="M13" s="112"/>
      <c r="N13" s="112"/>
      <c r="O13" s="112"/>
      <c r="P13" s="112"/>
      <c r="Q13" s="116"/>
      <c r="R13" s="169" t="e">
        <f>IF(データシート２!D47="",データシート２!F3,データシート２!F47)</f>
        <v>#VALUE!</v>
      </c>
      <c r="S13" s="169"/>
      <c r="T13" s="169"/>
      <c r="U13" s="116"/>
      <c r="W13" s="66" t="s">
        <v>49</v>
      </c>
      <c r="X13" s="160"/>
      <c r="Y13" s="160"/>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2"/>
      <c r="Y14" s="162"/>
      <c r="AA14" s="67"/>
      <c r="AC14" s="97" t="e">
        <f>IF(AE14&lt;AF14," ","")</f>
        <v>#VALUE!</v>
      </c>
      <c r="AD14" s="97" t="s">
        <v>101</v>
      </c>
      <c r="AE14" s="96" t="e">
        <f>VALUE(データシート２!K11)</f>
        <v>#VALUE!</v>
      </c>
      <c r="AF14" s="97">
        <f>VALUE((データシート!$K$65))</f>
        <v>0.41666666666666669</v>
      </c>
    </row>
    <row r="15" spans="1:32" ht="18.75" customHeight="1">
      <c r="A15" s="112"/>
      <c r="B15" s="112"/>
      <c r="C15" s="187" t="str">
        <f>データシート２!H47</f>
        <v/>
      </c>
      <c r="D15" s="187"/>
      <c r="E15" s="187"/>
      <c r="F15" s="187"/>
      <c r="G15" s="186" t="e">
        <f ca="1">IF(X13="",LEFT(TEXT(データシート２!I3,AC7&amp;"H:MM"),2),LEFT(TEXT(データシート２!I47,AC51&amp;"H:MM"),2))</f>
        <v>#VALUE!</v>
      </c>
      <c r="H15" s="186"/>
      <c r="I15" s="186"/>
      <c r="J15" s="172" t="e">
        <f ca="1">IF(X13="",RIGHT(TEXT(データシート２!I3,AC7&amp;"H:MM"),2),RIGHT(TEXT(データシート２!I47,AC51&amp;"H:MM"),2))</f>
        <v>#VALUE!</v>
      </c>
      <c r="K15" s="172"/>
      <c r="L15" s="176" t="str">
        <f>データシート２!J47</f>
        <v/>
      </c>
      <c r="M15" s="176"/>
      <c r="N15" s="176"/>
      <c r="O15" s="112"/>
      <c r="P15" s="186" t="e">
        <f ca="1">IF(X13="",LEFT(TEXT(データシート２!K3,AC8&amp;"H:MM"),2),LEFT(TEXT(データシート２!K47,AA51&amp;"H:MM"),2))</f>
        <v>#VALUE!</v>
      </c>
      <c r="Q15" s="186"/>
      <c r="R15" s="172" t="e">
        <f ca="1">IF(X13="",RIGHT(TEXT(データシート２!K3,AC8&amp;"H:MM"),2),RIGHT(TEXT(データシート２!K47,AA51&amp;"H:MM"),2))&amp;"     "</f>
        <v>#VALUE!</v>
      </c>
      <c r="S15" s="172"/>
      <c r="U15" s="118" t="s">
        <v>236</v>
      </c>
      <c r="W15" s="183" t="s">
        <v>50</v>
      </c>
      <c r="X15" s="162"/>
      <c r="Y15" s="162"/>
      <c r="Z15" s="168"/>
      <c r="AA15" s="64"/>
      <c r="AC15" s="97" t="e">
        <f>IF(AE15&lt;AF15," ","")</f>
        <v>#VALUE!</v>
      </c>
      <c r="AD15" s="97" t="s">
        <v>39</v>
      </c>
      <c r="AE15" s="96" t="e">
        <f>VALUE(データシート２!M11)</f>
        <v>#VALUE!</v>
      </c>
      <c r="AF15" s="97">
        <f>VALUE((データシート!$K$65))</f>
        <v>0.41666666666666669</v>
      </c>
    </row>
    <row r="16" spans="1:32" ht="5.25" customHeight="1">
      <c r="A16" s="112"/>
      <c r="B16" s="112"/>
      <c r="C16" s="187"/>
      <c r="D16" s="187"/>
      <c r="E16" s="187"/>
      <c r="F16" s="187"/>
      <c r="G16" s="112"/>
      <c r="H16" s="112"/>
      <c r="I16" s="112"/>
      <c r="J16" s="112"/>
      <c r="K16" s="112"/>
      <c r="L16" s="176"/>
      <c r="M16" s="176"/>
      <c r="N16" s="176"/>
      <c r="O16" s="112"/>
      <c r="P16" s="112"/>
      <c r="Q16" s="112"/>
      <c r="R16" s="112"/>
      <c r="S16" s="112"/>
      <c r="T16" s="112"/>
      <c r="U16" s="112"/>
      <c r="W16" s="183"/>
      <c r="X16" s="162"/>
      <c r="Y16" s="162"/>
      <c r="Z16" s="168"/>
      <c r="AA16" s="177">
        <f>IF(AND(Y11="YES",Y12="YES"),"0:14",IF(AND(Y11="YES",Y12="NO"),"0:07",IF(AND(Y11="NO",Y12="YES"),"0:07",IF(AND(Y11="NO",Y12="NO"),0))))</f>
        <v>0</v>
      </c>
      <c r="AB16" s="168"/>
      <c r="AC16" s="156" t="e">
        <f>IF(AE16&lt;AF16," ","")</f>
        <v>#VALUE!</v>
      </c>
      <c r="AD16" s="156" t="s">
        <v>40</v>
      </c>
      <c r="AE16" s="156" t="e">
        <f>VALUE(データシート２!N11)</f>
        <v>#VALUE!</v>
      </c>
      <c r="AF16" s="156">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3" t="s">
        <v>50</v>
      </c>
      <c r="X17" s="162"/>
      <c r="Y17" s="162"/>
      <c r="Z17" s="168"/>
      <c r="AA17" s="177"/>
      <c r="AB17" s="168"/>
      <c r="AC17" s="156"/>
      <c r="AD17" s="156"/>
      <c r="AE17" s="156"/>
      <c r="AF17" s="156"/>
    </row>
    <row r="18" spans="1:32" ht="14.25" customHeight="1">
      <c r="A18" s="112"/>
      <c r="B18" s="112"/>
      <c r="C18" s="112"/>
      <c r="D18" s="166" t="str">
        <f>IF($X$8="","",IF(OR(データシート２!W3="T",データシート２!W3="B2",データシート２!W3="K2"),LEFT(($X$8),2),LEFT($X$8)))</f>
        <v/>
      </c>
      <c r="E18" s="166"/>
      <c r="F18" s="166"/>
      <c r="G18" s="166" t="str">
        <f>IF($X$8="","",IF(OR(データシート２!W3="B2",データシート２!W3="K2"),MID(($X$8),4,2),MID(($X$8),3,1)))</f>
        <v/>
      </c>
      <c r="H18" s="166"/>
      <c r="I18" s="121"/>
      <c r="J18" s="112"/>
      <c r="K18" s="171" t="str">
        <f>IF($X$8="","",データシート２!L3)</f>
        <v/>
      </c>
      <c r="L18" s="171"/>
      <c r="M18" s="112"/>
      <c r="N18" s="122" t="str">
        <f>IF($X$8="","",LEFT(TEXT(データシート２!M3,"H;MM"&amp;(AC9)),2))</f>
        <v/>
      </c>
      <c r="O18" s="123"/>
      <c r="P18" s="123" t="str">
        <f>IF($X$8="","",RIGHT(TEXT(データシート２!M3,"H:MM"),2))</f>
        <v/>
      </c>
      <c r="Q18" s="163" t="str">
        <f>IF($X$8="","",LEFT(TEXT(データシート２!O3,"H;MM"&amp;(AC11)),2))</f>
        <v/>
      </c>
      <c r="R18" s="163"/>
      <c r="S18" s="163" t="str">
        <f>IF($X$8="","",RIGHT(TEXT(データシート２!O3,"H:MM"),2))&amp;" "</f>
        <v xml:space="preserve"> </v>
      </c>
      <c r="T18" s="163"/>
      <c r="U18" s="173" t="str">
        <f>IF($X$8="","",(データシート２!P3))</f>
        <v/>
      </c>
      <c r="W18" s="183"/>
      <c r="X18" s="162"/>
      <c r="Y18" s="162"/>
      <c r="Z18" s="168"/>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6"/>
      <c r="E19" s="166"/>
      <c r="F19" s="166"/>
      <c r="G19" s="166"/>
      <c r="H19" s="166"/>
      <c r="I19" s="121"/>
      <c r="J19" s="112"/>
      <c r="K19" s="171"/>
      <c r="L19" s="171"/>
      <c r="M19" s="112"/>
      <c r="N19" s="122" t="str">
        <f>IF($X$8="","",LEFT(TEXT(データシート２!N3,"H;MM"&amp;(AC10)),2))</f>
        <v/>
      </c>
      <c r="O19" s="123"/>
      <c r="P19" s="123" t="str">
        <f>IF($X$8="","",RIGHT(TEXT(データシート２!N3,"H:MM"),2))</f>
        <v/>
      </c>
      <c r="Q19" s="163"/>
      <c r="R19" s="163"/>
      <c r="S19" s="163"/>
      <c r="T19" s="163"/>
      <c r="U19" s="173"/>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1"/>
      <c r="Y20" s="161"/>
      <c r="AA20" s="42"/>
    </row>
    <row r="21" spans="1:32" ht="14.25" customHeight="1">
      <c r="A21" s="112"/>
      <c r="B21" s="112"/>
      <c r="C21" s="112"/>
      <c r="D21" s="166" t="str">
        <f>IF(X13="","",IF(OR(データシート２!W6="T",データシート２!W6="Y1",データシート２!W6="Y2",データシート２!W6="Y4",データシート２!W6="Y5",データシート２!W6="K2",データシート２!W6="B2"),LEFT(X13,2),LEFT(X13,1)))</f>
        <v/>
      </c>
      <c r="E21" s="166"/>
      <c r="F21" s="166"/>
      <c r="G21" s="166"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66"/>
      <c r="I21" s="121"/>
      <c r="J21" s="112"/>
      <c r="K21" s="171" t="str">
        <f>IF(データシート２!B6="","",データシート２!L11)</f>
        <v/>
      </c>
      <c r="L21" s="171"/>
      <c r="M21" s="112"/>
      <c r="N21" s="122" t="str">
        <f>IF(X13="","",LEFT(TEXT(データシート２!M11,AC15&amp;"H:MM"),2))</f>
        <v/>
      </c>
      <c r="O21" s="123"/>
      <c r="P21" s="123" t="str">
        <f>IF(X13="","",RIGHT(TEXT(データシート２!M11,AC15&amp;"H:MM"),2))</f>
        <v/>
      </c>
      <c r="Q21" s="163" t="str">
        <f>IF(X13="","",LEFT(TEXT(データシート２!O11,AC18&amp;"H:MM"),2))</f>
        <v/>
      </c>
      <c r="R21" s="163"/>
      <c r="S21" s="163" t="str">
        <f>IF(X13="","",RIGHT(TEXT(データシート２!O11,AC18&amp;"H:MM"),2))&amp;" "</f>
        <v xml:space="preserve"> </v>
      </c>
      <c r="T21" s="163"/>
      <c r="U21" s="174" t="str">
        <f>IF(X13="","",データシート２!P11)</f>
        <v/>
      </c>
      <c r="W21" s="18" t="s">
        <v>55</v>
      </c>
      <c r="Y21" s="43" t="s">
        <v>59</v>
      </c>
    </row>
    <row r="22" spans="1:32" ht="14.25" customHeight="1">
      <c r="A22" s="112"/>
      <c r="B22" s="112"/>
      <c r="C22" s="112"/>
      <c r="D22" s="166"/>
      <c r="E22" s="166"/>
      <c r="F22" s="166"/>
      <c r="G22" s="166"/>
      <c r="H22" s="166"/>
      <c r="I22" s="121"/>
      <c r="J22" s="112"/>
      <c r="K22" s="171"/>
      <c r="L22" s="171"/>
      <c r="M22" s="112"/>
      <c r="N22" s="122" t="str">
        <f>IF(X13="","",LEFT(TEXT(データシート２!N11,AC16&amp;"H:MM"),2))</f>
        <v/>
      </c>
      <c r="O22" s="123"/>
      <c r="P22" s="123" t="str">
        <f>IF(X13="","",RIGHT(TEXT(データシート２!N11,AC16&amp;"H:MM"),2))</f>
        <v/>
      </c>
      <c r="Q22" s="163"/>
      <c r="R22" s="163"/>
      <c r="S22" s="163"/>
      <c r="T22" s="163"/>
      <c r="U22" s="174"/>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5"/>
      <c r="Y23" s="175"/>
      <c r="AA23" s="42"/>
      <c r="AC23" s="156" t="e">
        <f>IF(AE23&lt;AF23," ","")</f>
        <v>#VALUE!</v>
      </c>
      <c r="AD23" s="156" t="s">
        <v>100</v>
      </c>
      <c r="AE23" s="156" t="e">
        <f>VALUE(データシート２!I21)</f>
        <v>#VALUE!</v>
      </c>
      <c r="AF23" s="156">
        <f>VALUE((データシート!$K$65))</f>
        <v>0.41666666666666669</v>
      </c>
    </row>
    <row r="24" spans="1:32" ht="13.5" customHeight="1">
      <c r="A24" s="112"/>
      <c r="B24" s="112"/>
      <c r="C24" s="112"/>
      <c r="D24" s="166" t="str">
        <f>IF(X24="","",IF(OR(データシート２!W16="T",データシート２!W16="Y1",データシート２!W16="Y2",データシート２!W16="Y4",データシート２!W16="Y5",データシート２!W16="K2",データシート２!W16="B2"),LEFT(X24,2),LEFT(X24,1)))</f>
        <v/>
      </c>
      <c r="E24" s="166"/>
      <c r="F24" s="166"/>
      <c r="G24" s="166"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66"/>
      <c r="I24" s="121"/>
      <c r="J24" s="112"/>
      <c r="K24" s="171" t="str">
        <f>IF(データシート２!B16="","",データシート２!L21)</f>
        <v/>
      </c>
      <c r="L24" s="171"/>
      <c r="M24" s="112"/>
      <c r="N24" s="122" t="str">
        <f>IF(X24="","",LEFT(TEXT(データシート２!M21,AC28&amp;"H:MM"),2))</f>
        <v/>
      </c>
      <c r="O24" s="123"/>
      <c r="P24" s="123" t="str">
        <f>IF(X24="","",RIGHT(TEXT(データシート２!M21,AC18&amp;"H:MM"),2))</f>
        <v/>
      </c>
      <c r="Q24" s="163" t="str">
        <f>IF(X24="","",LEFT(TEXT(データシート２!O21,AC31&amp;"H:MM"),2))</f>
        <v/>
      </c>
      <c r="R24" s="163"/>
      <c r="S24" s="163" t="str">
        <f>IF(X24="","",RIGHT(TEXT(データシート２!O21,AC31&amp;"H:MM"),2))&amp;" "</f>
        <v xml:space="preserve"> </v>
      </c>
      <c r="T24" s="163"/>
      <c r="U24" s="173" t="str">
        <f>IF(X24="","",データシート２!P21)</f>
        <v/>
      </c>
      <c r="W24" s="66" t="s">
        <v>51</v>
      </c>
      <c r="X24" s="162"/>
      <c r="Y24" s="162"/>
      <c r="Z24" s="142"/>
      <c r="AA24" s="72" t="s">
        <v>108</v>
      </c>
      <c r="AB24" s="43" t="s">
        <v>59</v>
      </c>
      <c r="AC24" s="156"/>
      <c r="AD24" s="156"/>
      <c r="AE24" s="156"/>
      <c r="AF24" s="156"/>
    </row>
    <row r="25" spans="1:32" ht="12.75" customHeight="1">
      <c r="A25" s="112"/>
      <c r="B25" s="112"/>
      <c r="C25" s="112"/>
      <c r="D25" s="166"/>
      <c r="E25" s="166"/>
      <c r="F25" s="166"/>
      <c r="G25" s="166"/>
      <c r="H25" s="166"/>
      <c r="I25" s="121"/>
      <c r="J25" s="112"/>
      <c r="K25" s="171"/>
      <c r="L25" s="171"/>
      <c r="M25" s="112"/>
      <c r="N25" s="122" t="str">
        <f>IF(X24="","",LEFT(TEXT(データシート２!N21,AC29&amp;"H:MM"),2))</f>
        <v/>
      </c>
      <c r="O25" s="123"/>
      <c r="P25" s="123" t="str">
        <f>IF(X24="","",RIGHT(TEXT(データシート２!N21,AC28&amp;"H:MM"),2))</f>
        <v/>
      </c>
      <c r="Q25" s="163"/>
      <c r="R25" s="163"/>
      <c r="S25" s="163"/>
      <c r="T25" s="163"/>
      <c r="U25" s="173"/>
      <c r="W25" s="183" t="s">
        <v>50</v>
      </c>
      <c r="X25" s="162"/>
      <c r="Y25" s="162"/>
      <c r="Z25" s="168"/>
      <c r="AA25" s="168"/>
      <c r="AB25" s="168"/>
      <c r="AC25" s="156" t="e">
        <f>IF(AE25&lt;AF25," ","")</f>
        <v>#VALUE!</v>
      </c>
      <c r="AD25" s="156" t="s">
        <v>100</v>
      </c>
      <c r="AE25" s="156" t="e">
        <f>VALUE(データシート２!I21)</f>
        <v>#VALUE!</v>
      </c>
      <c r="AF25" s="156">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3"/>
      <c r="X26" s="162"/>
      <c r="Y26" s="162"/>
      <c r="Z26" s="168"/>
      <c r="AA26" s="168"/>
      <c r="AB26" s="168"/>
      <c r="AC26" s="156"/>
      <c r="AD26" s="156"/>
      <c r="AE26" s="156"/>
      <c r="AF26" s="156"/>
    </row>
    <row r="27" spans="1:32" ht="12.95" customHeight="1">
      <c r="A27" s="112"/>
      <c r="B27" s="112"/>
      <c r="C27" s="112"/>
      <c r="D27" s="166" t="str">
        <f>IF(X35="","",IF(OR(データシート２!W26="T",データシート２!W26="Y1",データシート２!W26="Y2",データシート２!W26="Y4",データシート２!W26="Y5",データシート２!W26="K2",データシート２!W26="B2"),LEFT(X35,2),LEFT(X35,1)))</f>
        <v/>
      </c>
      <c r="E27" s="166"/>
      <c r="F27" s="166"/>
      <c r="G27" s="166" t="str">
        <f>IF(X35="","",IF(OR(X35=データシート!B116,X35=データシート!B117,X35=データシート!B118,X35=データシート!B119,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66"/>
      <c r="I27" s="121"/>
      <c r="J27" s="112"/>
      <c r="K27" s="171" t="str">
        <f>IF(データシート２!B26="","",データシート２!L31)</f>
        <v/>
      </c>
      <c r="L27" s="171"/>
      <c r="M27" s="112"/>
      <c r="N27" s="122" t="str">
        <f>IF(X35="","",LEFT(TEXT(データシート２!M31,AC38&amp;"H:MM"),2))</f>
        <v/>
      </c>
      <c r="O27" s="123"/>
      <c r="P27" s="123" t="str">
        <f>IF(X35="","",RIGHT(TEXT(データシート２!M31,AC39&amp;"H:MM"),2))</f>
        <v/>
      </c>
      <c r="Q27" s="163" t="str">
        <f>IF(X35="","",LEFT(TEXT(データシート２!O31,AC40&amp;"H:MM"),2))</f>
        <v/>
      </c>
      <c r="R27" s="163"/>
      <c r="S27" s="163" t="str">
        <f>IF(X35="","",RIGHT(TEXT(データシート２!O31,AC40&amp;"H:MM"),2))&amp;" "</f>
        <v xml:space="preserve"> </v>
      </c>
      <c r="T27" s="163"/>
      <c r="U27" s="173" t="str">
        <f>IF(X35="","",データシート２!P31)</f>
        <v/>
      </c>
      <c r="W27" s="68" t="s">
        <v>50</v>
      </c>
      <c r="X27" s="162"/>
      <c r="Y27" s="162"/>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6"/>
      <c r="E28" s="166"/>
      <c r="F28" s="166"/>
      <c r="G28" s="166"/>
      <c r="H28" s="166"/>
      <c r="I28" s="121"/>
      <c r="J28" s="112"/>
      <c r="K28" s="171"/>
      <c r="L28" s="171"/>
      <c r="M28" s="112"/>
      <c r="N28" s="122" t="str">
        <f>IF(X35="","",LEFT(TEXT(データシート２!N31,AC39&amp;"H:MM"),2))</f>
        <v/>
      </c>
      <c r="O28" s="123"/>
      <c r="P28" s="123" t="str">
        <f>IF(X35="","",RIGHT(TEXT(データシート２!N31,AC39&amp;"H:MM"),2))</f>
        <v/>
      </c>
      <c r="Q28" s="163"/>
      <c r="R28" s="163"/>
      <c r="S28" s="163"/>
      <c r="T28" s="163"/>
      <c r="U28" s="173"/>
      <c r="W28" s="68" t="s">
        <v>50</v>
      </c>
      <c r="X28" s="162"/>
      <c r="Y28" s="162"/>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2" t="e">
        <f>IF(データシート２!P50=0,"","通算前日km")</f>
        <v>#VALUE!</v>
      </c>
      <c r="Q29" s="182"/>
      <c r="R29" s="182"/>
      <c r="S29" s="182"/>
      <c r="T29" s="182"/>
      <c r="U29" s="164" t="e">
        <f>IF(データシート２!P50=0,"",データシート２!R47)</f>
        <v>#VALUE!</v>
      </c>
      <c r="W29" s="90"/>
      <c r="AA29" s="168"/>
      <c r="AB29" s="168"/>
      <c r="AC29" s="156" t="e">
        <f>IF(AE29&lt;AF29," ","")</f>
        <v>#VALUE!</v>
      </c>
      <c r="AD29" s="156" t="s">
        <v>40</v>
      </c>
      <c r="AE29" s="156" t="e">
        <f>VALUE(データシート２!N21)</f>
        <v>#VALUE!</v>
      </c>
      <c r="AF29" s="156">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2"/>
      <c r="Q30" s="182"/>
      <c r="R30" s="182"/>
      <c r="S30" s="182"/>
      <c r="T30" s="182"/>
      <c r="U30" s="164"/>
      <c r="W30" s="90"/>
      <c r="AA30" s="168"/>
      <c r="AB30" s="168"/>
      <c r="AC30" s="156"/>
      <c r="AD30" s="156"/>
      <c r="AE30" s="156"/>
      <c r="AF30" s="156"/>
    </row>
    <row r="31" spans="1:32" ht="14.25" customHeight="1">
      <c r="A31" s="112"/>
      <c r="B31" s="112"/>
      <c r="C31" s="112"/>
      <c r="D31" s="112"/>
      <c r="E31" s="179" t="str">
        <f>IF(Y9="NO","",L15)</f>
        <v/>
      </c>
      <c r="F31" s="179"/>
      <c r="G31" s="179"/>
      <c r="H31" s="179"/>
      <c r="I31" s="129"/>
      <c r="J31" s="112"/>
      <c r="K31" s="112"/>
      <c r="L31" s="112"/>
      <c r="M31" s="178" t="e">
        <f>IF(データシート!H65&gt;0,"",データシート!H66)</f>
        <v>#VALUE!</v>
      </c>
      <c r="N31" s="178"/>
      <c r="O31" s="112"/>
      <c r="P31" s="112"/>
      <c r="Q31" s="180" t="e">
        <f>LEFT(TEXT(データシート２!O47,AC52&amp;"H:MM"),2)</f>
        <v>#VALUE!</v>
      </c>
      <c r="R31" s="180"/>
      <c r="S31" s="180"/>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1"/>
      <c r="F33" s="181"/>
      <c r="G33" s="181"/>
      <c r="H33" s="181"/>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31"/>
      <c r="P35" s="112"/>
      <c r="Q35" s="112"/>
      <c r="R35" s="166" t="e">
        <f>"   "&amp;IF(データシート２!Z3=0,"",LEFT(TEXT(データシート２!Z3,"h:mm"),1))</f>
        <v>#VALUE!</v>
      </c>
      <c r="S35" s="166"/>
      <c r="T35" s="112"/>
      <c r="U35" s="167" t="e">
        <f>"  "&amp;IF(データシート２!Z3=0,"",RIGHT(TEXT(データシート２!Z3,"h:mm"),2))</f>
        <v>#VALUE!</v>
      </c>
      <c r="W35" s="66" t="s">
        <v>92</v>
      </c>
      <c r="X35" s="162"/>
      <c r="Y35" s="162"/>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59"/>
      <c r="I36" s="159"/>
      <c r="J36" s="159"/>
      <c r="K36" s="159"/>
      <c r="L36" s="159"/>
      <c r="M36" s="159"/>
      <c r="N36" s="159"/>
      <c r="O36" s="112"/>
      <c r="P36" s="112"/>
      <c r="Q36" s="112"/>
      <c r="R36" s="166"/>
      <c r="S36" s="166"/>
      <c r="T36" s="112"/>
      <c r="U36" s="167"/>
      <c r="W36" s="68" t="s">
        <v>50</v>
      </c>
      <c r="X36" s="162"/>
      <c r="Y36" s="162"/>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79"/>
      <c r="I37" s="179"/>
      <c r="J37" s="179"/>
      <c r="K37" s="179"/>
      <c r="L37" s="112"/>
      <c r="M37" s="112"/>
      <c r="N37" s="112"/>
      <c r="O37" s="112"/>
      <c r="P37" s="112"/>
      <c r="Q37" s="112"/>
      <c r="R37" s="158" t="str">
        <f>"   "&amp;IF(データシート２!AB52&lt;&gt;"",LEFT(TEXT(データシート２!AB52,"h:mm"),1),IF(データシート２!AB47=0,"",LEFT(TEXT(データシート２!AB47,"h:mm"),1)))</f>
        <v xml:space="preserve">   </v>
      </c>
      <c r="S37" s="158"/>
      <c r="T37" s="112"/>
      <c r="U37" s="159" t="str">
        <f>IF(データシート２!AB52&lt;&gt;"",RIGHT(TEXT(データシート２!AB52,"h:mm"),2),IF(データシート２!AB47=0,"",RIGHT(TEXT(データシート２!AB47,"h:mm"),2)))</f>
        <v/>
      </c>
      <c r="W37" s="68" t="s">
        <v>50</v>
      </c>
      <c r="X37" s="162"/>
      <c r="Y37" s="162"/>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79"/>
      <c r="I38" s="179"/>
      <c r="J38" s="179"/>
      <c r="K38" s="179"/>
      <c r="L38" s="112"/>
      <c r="M38" s="112"/>
      <c r="N38" s="112"/>
      <c r="O38" s="112"/>
      <c r="P38" s="112"/>
      <c r="Q38" s="112"/>
      <c r="R38" s="158"/>
      <c r="S38" s="158"/>
      <c r="T38" s="112"/>
      <c r="U38" s="159"/>
      <c r="W38" s="68" t="s">
        <v>50</v>
      </c>
      <c r="X38" s="162"/>
      <c r="Y38" s="162"/>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12"/>
      <c r="P39" s="112"/>
      <c r="Q39" s="112"/>
      <c r="R39" s="178"/>
      <c r="S39" s="178"/>
      <c r="T39" s="112"/>
      <c r="U39" s="179"/>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59"/>
      <c r="I40" s="159"/>
      <c r="J40" s="159"/>
      <c r="K40" s="159"/>
      <c r="L40" s="159"/>
      <c r="M40" s="159"/>
      <c r="N40" s="159"/>
      <c r="O40" s="112"/>
      <c r="P40" s="112"/>
      <c r="Q40" s="112"/>
      <c r="R40" s="178"/>
      <c r="S40" s="178"/>
      <c r="T40" s="112"/>
      <c r="U40" s="179"/>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2"/>
      <c r="Y43" s="162"/>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2"/>
      <c r="Y44" s="162"/>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2"/>
      <c r="Y45" s="162"/>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2"/>
      <c r="Y46" s="162"/>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104775</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66675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6</xdr:col>
                <xdr:colOff>66675</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19</xdr:col>
                <xdr:colOff>257175</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104775</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114300</xdr:colOff>
                <xdr:row>31</xdr:row>
                <xdr:rowOff>28575</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5</xdr:col>
                <xdr:colOff>152400</xdr:colOff>
                <xdr:row>35</xdr:row>
                <xdr:rowOff>142875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6</xdr:col>
                <xdr:colOff>47625</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28575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5</xdr:col>
                <xdr:colOff>104775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85725</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104775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114300</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データシート!$B$102:$B$433</xm:f>
          </x14:formula1>
          <xm:sqref>AB12</xm:sqref>
        </x14:dataValidation>
        <x14:dataValidation type="list" allowBlank="1" showInputMessage="1" showErrorMessage="1" xr:uid="{1C2D93B9-2010-4037-B51D-EB979AB72173}">
          <x14:formula1>
            <xm:f>データシート!$B$71:$B$468</xm:f>
          </x14:formula1>
          <xm:sqref>X20:Y20</xm:sqref>
        </x14:dataValidation>
        <x14:dataValidation type="list" allowBlank="1" showInputMessage="1" showErrorMessage="1" xr:uid="{A0F76110-8099-42BA-B601-1BA7EFD4D526}">
          <x14:formula1>
            <xm:f>データシート!$B$70:$B$468</xm:f>
          </x14:formula1>
          <xm:sqref>X25:Y26 X15:Y18</xm:sqref>
        </x14:dataValidation>
        <x14:dataValidation type="list" allowBlank="1" showInputMessage="1" showErrorMessage="1" prompt="ない場合は空白を選択" xr:uid="{4B6DD85B-65B2-41A5-A572-E1C2B884A070}">
          <x14:formula1>
            <xm:f>データシート!$B$70:$B$464</xm:f>
          </x14:formula1>
          <xm:sqref>X43:Y46 X35:Y38 X24:Y24 X27:Y28 X13:Y14</xm:sqref>
        </x14:dataValidation>
        <x14:dataValidation type="list" allowBlank="1" showInputMessage="1" showErrorMessage="1" prompt="寄せ集めの場合はパターン④を使ってください。" xr:uid="{609E500F-1BC8-42CA-BC78-4F75BE331439}">
          <x14:formula1>
            <xm:f>データシート!$B$70:$B$468</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9"/>
  <sheetViews>
    <sheetView topLeftCell="A344" zoomScaleNormal="100" workbookViewId="0">
      <selection activeCell="B375" sqref="B375"/>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658</v>
      </c>
      <c r="AD1" t="s">
        <v>186</v>
      </c>
      <c r="AE1" t="s">
        <v>187</v>
      </c>
    </row>
    <row r="2" spans="1:31">
      <c r="A2">
        <f ca="1">WEEKDAY(A1,2)</f>
        <v>5</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12</v>
      </c>
      <c r="B3" s="10"/>
      <c r="C3" s="11"/>
      <c r="D3" s="13"/>
      <c r="E3" s="13"/>
      <c r="F3" s="13"/>
      <c r="G3" s="13"/>
      <c r="H3" s="13"/>
      <c r="I3" s="13"/>
      <c r="J3" s="13"/>
      <c r="K3" s="53"/>
      <c r="L3" s="13"/>
      <c r="M3" s="13"/>
      <c r="N3" s="13"/>
      <c r="O3" s="13"/>
      <c r="P3" s="13"/>
      <c r="Q3" s="13"/>
      <c r="R3"/>
      <c r="Z3" s="152">
        <v>45984</v>
      </c>
      <c r="AA3" s="22" t="s">
        <v>473</v>
      </c>
      <c r="AB3" s="22" t="s">
        <v>27</v>
      </c>
      <c r="AD3">
        <v>671</v>
      </c>
      <c r="AE3" t="s">
        <v>192</v>
      </c>
    </row>
    <row r="4" spans="1:31" ht="13.5" customHeight="1">
      <c r="A4" s="23" t="str">
        <f ca="1">IF(NETWORKDAYS(A1,A1,$Z$3:$Z$60),"平日","休日")</f>
        <v>平日</v>
      </c>
      <c r="C4" s="9"/>
      <c r="D4" s="13"/>
      <c r="E4" s="13"/>
      <c r="F4" s="13"/>
      <c r="G4" s="13"/>
      <c r="H4" s="13"/>
      <c r="I4" s="13"/>
      <c r="J4" s="13"/>
      <c r="K4" s="53"/>
      <c r="L4" s="13"/>
      <c r="M4" s="13"/>
      <c r="N4" s="13"/>
      <c r="O4" s="13"/>
      <c r="P4" s="13"/>
      <c r="Q4" s="12"/>
      <c r="R4" s="88"/>
      <c r="S4" s="24"/>
      <c r="T4" s="24"/>
      <c r="U4" s="24"/>
      <c r="V4" s="24"/>
      <c r="W4" s="24"/>
      <c r="X4" s="24"/>
      <c r="Z4" s="152">
        <v>45985</v>
      </c>
      <c r="AA4" s="22" t="s">
        <v>18</v>
      </c>
      <c r="AB4" s="22" t="s">
        <v>28</v>
      </c>
    </row>
    <row r="5" spans="1:31" ht="13.5" customHeight="1">
      <c r="A5">
        <f ca="1">WEEKNUM(A1)</f>
        <v>5</v>
      </c>
      <c r="D5" s="13"/>
      <c r="E5" s="137"/>
      <c r="F5" s="137"/>
      <c r="G5" s="137"/>
      <c r="H5" s="13"/>
      <c r="I5" s="13"/>
      <c r="J5" s="13"/>
      <c r="K5" s="137"/>
      <c r="L5" s="137"/>
      <c r="M5" s="137"/>
      <c r="N5" s="13"/>
      <c r="O5" s="13"/>
      <c r="P5" s="146"/>
      <c r="Q5" s="13"/>
      <c r="R5"/>
      <c r="Z5" s="152">
        <v>46020</v>
      </c>
      <c r="AA5" s="22" t="s">
        <v>473</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2">
        <v>46021</v>
      </c>
      <c r="AA6" s="22" t="s">
        <v>18</v>
      </c>
      <c r="AB6" s="22"/>
    </row>
    <row r="7" spans="1:31" ht="13.5" customHeight="1">
      <c r="A7" t="b">
        <f ca="1">ISODD(A5)</f>
        <v>1</v>
      </c>
      <c r="K7" s="37"/>
      <c r="Q7" s="13"/>
      <c r="R7"/>
      <c r="Z7" s="152">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2">
        <v>46023</v>
      </c>
      <c r="AA8" s="22" t="s">
        <v>17</v>
      </c>
      <c r="AB8" s="22" t="s">
        <v>15</v>
      </c>
    </row>
    <row r="9" spans="1:31" ht="13.5" customHeight="1">
      <c r="B9" s="8"/>
      <c r="C9" s="9"/>
      <c r="D9" s="137"/>
      <c r="E9" s="13"/>
      <c r="F9" s="137"/>
      <c r="G9" s="13"/>
      <c r="H9" s="137"/>
      <c r="I9" s="137"/>
      <c r="J9" s="137"/>
      <c r="K9" s="53"/>
      <c r="L9" s="13"/>
      <c r="M9" s="137"/>
      <c r="N9" s="13"/>
      <c r="O9" s="137"/>
      <c r="P9" s="137"/>
      <c r="Q9" s="13"/>
      <c r="R9"/>
      <c r="Z9" s="152">
        <v>46024</v>
      </c>
      <c r="AA9" s="22" t="s">
        <v>24</v>
      </c>
      <c r="AB9" s="22"/>
      <c r="AD9">
        <v>1699</v>
      </c>
      <c r="AE9" t="s">
        <v>244</v>
      </c>
    </row>
    <row r="10" spans="1:31" ht="13.5" customHeight="1">
      <c r="A10" s="79" t="s">
        <v>139</v>
      </c>
      <c r="K10" s="37"/>
      <c r="Q10" s="12"/>
      <c r="R10" s="88"/>
      <c r="S10" s="24"/>
      <c r="T10" s="24"/>
      <c r="U10" s="24"/>
      <c r="V10" s="24"/>
      <c r="W10" s="24"/>
      <c r="X10" s="24"/>
      <c r="Z10" s="152">
        <v>46025</v>
      </c>
      <c r="AA10" s="22" t="s">
        <v>659</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1" s="10"/>
      <c r="C11" s="11"/>
      <c r="D11" s="137"/>
      <c r="E11" s="13"/>
      <c r="F11" s="13"/>
      <c r="G11" s="137"/>
      <c r="H11" s="13"/>
      <c r="I11" s="137"/>
      <c r="J11" s="137"/>
      <c r="K11" s="146"/>
      <c r="L11" s="137"/>
      <c r="M11" s="13"/>
      <c r="N11" s="13"/>
      <c r="O11" s="13"/>
      <c r="P11" s="137"/>
      <c r="Q11" s="13"/>
      <c r="R11"/>
      <c r="Z11" s="152">
        <v>46064</v>
      </c>
      <c r="AA11" s="22" t="s">
        <v>21</v>
      </c>
      <c r="AB11" s="22" t="s">
        <v>660</v>
      </c>
      <c r="AD11">
        <v>1715</v>
      </c>
      <c r="AE11" t="s">
        <v>193</v>
      </c>
    </row>
    <row r="12" spans="1:31" ht="13.5" customHeight="1">
      <c r="A12" s="92" t="str">
        <f ca="1">TEXT(A11,"aaa")</f>
        <v>金</v>
      </c>
      <c r="B12" s="10"/>
      <c r="C12" s="11"/>
      <c r="D12" s="137"/>
      <c r="E12" s="13"/>
      <c r="F12" s="13"/>
      <c r="G12" s="13"/>
      <c r="H12" s="137"/>
      <c r="I12" s="137"/>
      <c r="J12" s="13"/>
      <c r="K12" s="53"/>
      <c r="L12" s="137"/>
      <c r="M12" s="13"/>
      <c r="N12" s="137"/>
      <c r="O12" s="137"/>
      <c r="P12" s="137"/>
      <c r="Q12" s="12"/>
      <c r="R12" s="88"/>
      <c r="S12" s="24"/>
      <c r="T12" s="24"/>
      <c r="U12" s="24"/>
      <c r="V12" s="24"/>
      <c r="W12" s="24"/>
      <c r="X12" s="24"/>
      <c r="Z12" s="152">
        <v>46076</v>
      </c>
      <c r="AA12" s="22" t="s">
        <v>16</v>
      </c>
      <c r="AB12" s="22" t="s">
        <v>661</v>
      </c>
      <c r="AD12">
        <v>1758</v>
      </c>
      <c r="AE12" t="s">
        <v>446</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2">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46146</v>
      </c>
      <c r="AA16" s="22" t="s">
        <v>16</v>
      </c>
      <c r="AB16" s="22" t="s">
        <v>23</v>
      </c>
      <c r="AD16">
        <v>1803</v>
      </c>
      <c r="AE16" t="s">
        <v>242</v>
      </c>
    </row>
    <row r="17" spans="2:31" ht="13.5" customHeight="1">
      <c r="B17" s="10"/>
      <c r="C17" s="11"/>
      <c r="D17" s="137"/>
      <c r="E17" s="137"/>
      <c r="F17" s="137"/>
      <c r="G17" s="13"/>
      <c r="H17" s="13"/>
      <c r="I17" s="13"/>
      <c r="J17" s="137"/>
      <c r="K17" s="146"/>
      <c r="L17" s="13"/>
      <c r="M17" s="13"/>
      <c r="N17" s="137"/>
      <c r="O17" s="13"/>
      <c r="P17" s="137"/>
      <c r="Q17" s="13"/>
      <c r="R17"/>
      <c r="Z17" s="152">
        <v>46147</v>
      </c>
      <c r="AA17" s="22" t="s">
        <v>18</v>
      </c>
      <c r="AB17" s="22" t="s">
        <v>25</v>
      </c>
      <c r="AD17">
        <v>1805</v>
      </c>
      <c r="AE17" t="s">
        <v>195</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46148</v>
      </c>
      <c r="AA18" s="22" t="s">
        <v>21</v>
      </c>
      <c r="AB18" s="22" t="s">
        <v>28</v>
      </c>
      <c r="AD18">
        <v>1808</v>
      </c>
      <c r="AE18" t="s">
        <v>196</v>
      </c>
    </row>
    <row r="19" spans="2:31" ht="13.5" customHeight="1">
      <c r="K19" s="37"/>
      <c r="Q19" s="13"/>
      <c r="R19" s="11"/>
      <c r="S19" s="13"/>
      <c r="Z19" s="152">
        <v>46223</v>
      </c>
      <c r="AA19" s="22" t="s">
        <v>16</v>
      </c>
      <c r="AB19" s="22" t="s">
        <v>662</v>
      </c>
      <c r="AD19">
        <v>1826</v>
      </c>
      <c r="AE19" t="s">
        <v>231</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46245</v>
      </c>
      <c r="AA20" s="22" t="s">
        <v>18</v>
      </c>
      <c r="AB20" s="22" t="s">
        <v>663</v>
      </c>
      <c r="AD20">
        <v>1832</v>
      </c>
      <c r="AE20" t="s">
        <v>596</v>
      </c>
    </row>
    <row r="21" spans="2:31">
      <c r="B21" s="10"/>
      <c r="C21" s="13"/>
      <c r="D21" s="13"/>
      <c r="E21" s="98"/>
      <c r="F21" s="137"/>
      <c r="G21" s="98"/>
      <c r="H21" s="137"/>
      <c r="I21" s="137"/>
      <c r="J21" s="137"/>
      <c r="K21" s="53"/>
      <c r="L21" s="13"/>
      <c r="M21" s="13"/>
      <c r="N21" s="137"/>
      <c r="O21" s="137"/>
      <c r="P21" s="137"/>
      <c r="Q21" s="13"/>
      <c r="R21" s="11"/>
      <c r="Z21" s="152">
        <v>46247</v>
      </c>
      <c r="AA21" s="22" t="s">
        <v>472</v>
      </c>
      <c r="AB21" s="22" t="s">
        <v>474</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46248</v>
      </c>
      <c r="AA22" s="22" t="s">
        <v>17</v>
      </c>
      <c r="AB22" s="22" t="s">
        <v>474</v>
      </c>
      <c r="AD22">
        <v>1855</v>
      </c>
      <c r="AE22" t="s">
        <v>246</v>
      </c>
    </row>
    <row r="23" spans="2:31">
      <c r="B23" s="10"/>
      <c r="C23" s="11"/>
      <c r="K23" s="37"/>
      <c r="Q23" s="13"/>
      <c r="R23" s="11"/>
      <c r="Z23" s="152">
        <v>46249</v>
      </c>
      <c r="AA23" s="22" t="s">
        <v>24</v>
      </c>
      <c r="AB23" s="22" t="s">
        <v>474</v>
      </c>
      <c r="AD23">
        <v>1862</v>
      </c>
      <c r="AE23" t="s">
        <v>197</v>
      </c>
    </row>
    <row r="24" spans="2:31">
      <c r="D24" s="13"/>
      <c r="E24" s="13"/>
      <c r="F24" s="13"/>
      <c r="G24" s="137"/>
      <c r="H24" s="137"/>
      <c r="I24" s="137"/>
      <c r="J24" s="13"/>
      <c r="K24" s="148"/>
      <c r="L24" s="137"/>
      <c r="M24" s="98"/>
      <c r="N24" s="137"/>
      <c r="O24" s="137"/>
      <c r="P24" s="137"/>
      <c r="Q24" s="12"/>
      <c r="R24" s="89"/>
      <c r="S24" s="24"/>
      <c r="T24" s="24"/>
      <c r="U24" s="24"/>
      <c r="V24" s="24"/>
      <c r="W24" s="24"/>
      <c r="X24" s="24"/>
      <c r="Z24" s="152">
        <v>46286</v>
      </c>
      <c r="AA24" s="22" t="s">
        <v>16</v>
      </c>
      <c r="AB24" s="22" t="s">
        <v>664</v>
      </c>
    </row>
    <row r="25" spans="2:31">
      <c r="B25" s="10"/>
      <c r="C25" s="11"/>
      <c r="D25" s="137"/>
      <c r="E25" s="137"/>
      <c r="F25" s="137"/>
      <c r="G25" s="13"/>
      <c r="H25" s="98"/>
      <c r="I25" s="137"/>
      <c r="J25" s="98"/>
      <c r="K25" s="146"/>
      <c r="L25" s="137"/>
      <c r="M25" s="137"/>
      <c r="N25" s="13"/>
      <c r="O25" s="13"/>
      <c r="P25" s="13"/>
      <c r="Q25" s="13"/>
      <c r="R25" s="11"/>
      <c r="S25" s="13"/>
      <c r="Z25" s="152">
        <v>46287</v>
      </c>
      <c r="AA25" s="22" t="s">
        <v>18</v>
      </c>
      <c r="AB25" s="22" t="s">
        <v>665</v>
      </c>
      <c r="AD25">
        <v>1893</v>
      </c>
      <c r="AE25" t="s">
        <v>198</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46288</v>
      </c>
      <c r="AA26" s="22" t="s">
        <v>21</v>
      </c>
      <c r="AB26" s="22" t="s">
        <v>26</v>
      </c>
      <c r="AD26">
        <v>1889</v>
      </c>
      <c r="AE26" t="s">
        <v>232</v>
      </c>
    </row>
    <row r="27" spans="2:31">
      <c r="B27" s="10"/>
      <c r="C27" s="11"/>
      <c r="D27" s="137"/>
      <c r="E27" s="137"/>
      <c r="F27" s="137"/>
      <c r="G27" s="98"/>
      <c r="H27" s="137"/>
      <c r="I27" s="137"/>
      <c r="J27" s="137"/>
      <c r="K27" s="146"/>
      <c r="L27" s="137"/>
      <c r="M27" s="98"/>
      <c r="N27" s="98"/>
      <c r="O27" s="137"/>
      <c r="P27" s="137"/>
      <c r="Q27" s="13"/>
      <c r="R27" s="11"/>
      <c r="Z27" s="152">
        <v>46307</v>
      </c>
      <c r="AA27" s="22" t="s">
        <v>16</v>
      </c>
      <c r="AB27" s="22" t="s">
        <v>666</v>
      </c>
      <c r="AD27">
        <v>1916</v>
      </c>
      <c r="AE27" t="s">
        <v>199</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46329</v>
      </c>
      <c r="AA28" s="22" t="s">
        <v>18</v>
      </c>
      <c r="AB28" s="22" t="s">
        <v>667</v>
      </c>
    </row>
    <row r="29" spans="2:31">
      <c r="K29" s="37"/>
      <c r="Q29" s="13"/>
      <c r="R29" s="11"/>
      <c r="Z29" s="152">
        <v>46349</v>
      </c>
      <c r="AA29" s="22" t="s">
        <v>16</v>
      </c>
      <c r="AB29" s="22" t="s">
        <v>668</v>
      </c>
      <c r="AD29">
        <v>1927</v>
      </c>
      <c r="AE29" t="s">
        <v>183</v>
      </c>
    </row>
    <row r="30" spans="2:31">
      <c r="D30" s="137"/>
      <c r="E30" s="137"/>
      <c r="F30" s="13"/>
      <c r="G30" s="13"/>
      <c r="H30" s="13"/>
      <c r="I30" s="137"/>
      <c r="J30" s="137"/>
      <c r="K30" s="146"/>
      <c r="L30" s="13"/>
      <c r="M30" s="13"/>
      <c r="N30" s="137"/>
      <c r="O30" s="13"/>
      <c r="P30" s="137"/>
      <c r="Q30" s="12"/>
      <c r="R30" s="89"/>
      <c r="S30" s="24"/>
      <c r="T30" s="24"/>
      <c r="U30" s="24"/>
      <c r="V30" s="24"/>
      <c r="W30" s="24"/>
      <c r="X30" s="24"/>
      <c r="Z30" s="152">
        <v>46385</v>
      </c>
      <c r="AA30" s="22" t="s">
        <v>473</v>
      </c>
      <c r="AB30" s="22"/>
      <c r="AD30">
        <v>1944</v>
      </c>
      <c r="AE30" t="s">
        <v>200</v>
      </c>
    </row>
    <row r="31" spans="2:31">
      <c r="B31" s="10"/>
      <c r="C31" s="11"/>
      <c r="D31" s="13"/>
      <c r="E31" s="13"/>
      <c r="F31" s="137"/>
      <c r="G31" s="137"/>
      <c r="H31" s="137"/>
      <c r="I31" s="13"/>
      <c r="J31" s="13"/>
      <c r="K31" s="146"/>
      <c r="L31" s="13"/>
      <c r="M31" s="137"/>
      <c r="N31" s="137"/>
      <c r="O31" s="137"/>
      <c r="P31" s="13"/>
      <c r="Q31" s="13"/>
      <c r="R31" s="11"/>
      <c r="Z31" s="152">
        <v>46386</v>
      </c>
      <c r="AA31" s="22" t="s">
        <v>18</v>
      </c>
      <c r="AB31" s="22"/>
      <c r="AD31">
        <v>1950</v>
      </c>
      <c r="AE31" t="s">
        <v>176</v>
      </c>
    </row>
    <row r="32" spans="2:31">
      <c r="D32" s="137"/>
      <c r="E32" s="13"/>
      <c r="F32" s="13"/>
      <c r="G32" s="137"/>
      <c r="H32" s="13"/>
      <c r="I32" s="137"/>
      <c r="J32" s="137"/>
      <c r="K32" s="146"/>
      <c r="L32" s="13"/>
      <c r="M32" s="13"/>
      <c r="N32" s="13"/>
      <c r="O32" s="137"/>
      <c r="P32" s="137"/>
      <c r="Q32" s="12"/>
      <c r="R32" s="89"/>
      <c r="S32" s="24"/>
      <c r="T32" s="24"/>
      <c r="U32" s="24"/>
      <c r="V32" s="24"/>
      <c r="W32" s="24"/>
      <c r="X32" s="24"/>
      <c r="Z32" s="152">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6"/>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476</v>
      </c>
    </row>
    <row r="37" spans="2:31">
      <c r="B37" s="10"/>
      <c r="C37" s="11"/>
      <c r="D37" s="13"/>
      <c r="E37" s="13"/>
      <c r="F37" s="13"/>
      <c r="G37" s="13"/>
      <c r="H37" s="137"/>
      <c r="I37" s="137"/>
      <c r="J37" s="13"/>
      <c r="K37" s="13"/>
      <c r="L37" s="137"/>
      <c r="M37" s="13"/>
      <c r="N37" s="13"/>
      <c r="O37" s="146"/>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9" t="s">
        <v>455</v>
      </c>
      <c r="F41" s="13"/>
      <c r="G41" s="149"/>
      <c r="H41" s="150"/>
      <c r="I41" s="149"/>
      <c r="J41" s="149"/>
      <c r="K41" s="151"/>
      <c r="L41" s="149"/>
      <c r="M41" s="13"/>
      <c r="N41" s="149"/>
      <c r="O41" s="150"/>
      <c r="P41" s="149"/>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469</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475</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674</v>
      </c>
    </row>
    <row r="48" spans="2:31">
      <c r="B48" s="10"/>
      <c r="C48" s="11"/>
      <c r="D48" s="59"/>
      <c r="E48" s="59"/>
      <c r="F48" s="59"/>
      <c r="G48" s="59"/>
      <c r="H48" s="11"/>
      <c r="I48" s="53"/>
      <c r="J48" s="11"/>
      <c r="K48" s="59"/>
      <c r="L48" s="13"/>
      <c r="M48" s="59"/>
      <c r="N48" s="53"/>
      <c r="O48" s="53"/>
      <c r="P48" s="13"/>
      <c r="Q48" s="13"/>
      <c r="R48"/>
      <c r="Z48" s="21"/>
      <c r="AA48" s="22"/>
      <c r="AB48" s="22"/>
      <c r="AD48">
        <v>1887</v>
      </c>
      <c r="AE48" t="s">
        <v>675</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591</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46052</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46053</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46054</v>
      </c>
      <c r="L63" s="15" t="s">
        <v>129</v>
      </c>
      <c r="M63" s="36">
        <v>0.70833333333333337</v>
      </c>
      <c r="N63" s="37">
        <v>0.75</v>
      </c>
      <c r="Q63" s="37"/>
      <c r="R63" s="38">
        <v>4.1666666666666664E-2</v>
      </c>
      <c r="S63" s="37"/>
      <c r="AD63">
        <v>2063</v>
      </c>
      <c r="AE63" t="s">
        <v>210</v>
      </c>
    </row>
    <row r="64" spans="2:31">
      <c r="C64" s="30" t="s">
        <v>149</v>
      </c>
      <c r="D64" s="70">
        <f ca="1">TODAY()+3</f>
        <v>46055</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46056</v>
      </c>
      <c r="G65" s="30" t="e">
        <f>データシート２!F47</f>
        <v>#VALUE!</v>
      </c>
      <c r="H65" s="37" t="e">
        <f>H64-G65</f>
        <v>#VALUE!</v>
      </c>
      <c r="J65" s="82" t="s">
        <v>142</v>
      </c>
      <c r="K65" s="71">
        <v>0.41666666666666669</v>
      </c>
      <c r="L65"/>
      <c r="AD65">
        <v>2069</v>
      </c>
      <c r="AE65" t="s">
        <v>212</v>
      </c>
    </row>
    <row r="66" spans="2:31">
      <c r="C66" s="30" t="s">
        <v>172</v>
      </c>
      <c r="D66" s="70">
        <f ca="1">TODAY()+5</f>
        <v>46057</v>
      </c>
      <c r="H66" s="37" t="e">
        <f>G65-H64</f>
        <v>#VALUE!</v>
      </c>
      <c r="J66" s="82" t="s">
        <v>215</v>
      </c>
      <c r="K66" s="37">
        <v>0.29166666666666669</v>
      </c>
      <c r="L66" s="37">
        <v>0.5</v>
      </c>
    </row>
    <row r="67" spans="2:31">
      <c r="C67" s="30" t="s">
        <v>184</v>
      </c>
      <c r="D67" s="70">
        <f ca="1">TODAY()+6</f>
        <v>46058</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447</v>
      </c>
    </row>
    <row r="70" spans="2:31">
      <c r="B70" s="27"/>
      <c r="C70" s="27"/>
      <c r="W70" s="30"/>
      <c r="AD70">
        <v>2114</v>
      </c>
      <c r="AE70" t="s">
        <v>451</v>
      </c>
    </row>
    <row r="71" spans="2:31">
      <c r="B71" s="44" t="s">
        <v>477</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490</v>
      </c>
      <c r="C72" s="45"/>
      <c r="D72" s="36">
        <v>0.50486111111111109</v>
      </c>
      <c r="E72" s="36">
        <v>0.50486111111111109</v>
      </c>
      <c r="F72" s="36">
        <v>0.57847222222222228</v>
      </c>
      <c r="G72" s="36">
        <v>0.57847222222222228</v>
      </c>
      <c r="H72" s="30" t="s">
        <v>38</v>
      </c>
      <c r="I72" s="38">
        <v>0.51180555555555551</v>
      </c>
      <c r="J72" s="30" t="s">
        <v>38</v>
      </c>
      <c r="K72" s="38">
        <v>0.57152777777777775</v>
      </c>
      <c r="L72" s="29" t="s">
        <v>478</v>
      </c>
      <c r="M72" s="31">
        <v>0.51597222222222228</v>
      </c>
      <c r="N72" s="38">
        <v>0.56944444444444442</v>
      </c>
      <c r="O72" s="31">
        <v>5.9722222222222225E-2</v>
      </c>
      <c r="P72" s="39">
        <v>18.600000000000001</v>
      </c>
      <c r="Q72" s="36">
        <v>5.9722222222222225E-2</v>
      </c>
      <c r="W72" s="30" t="s">
        <v>109</v>
      </c>
      <c r="AD72">
        <v>2088</v>
      </c>
      <c r="AE72" t="s">
        <v>189</v>
      </c>
    </row>
    <row r="73" spans="2:31">
      <c r="B73" s="44" t="s">
        <v>491</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492</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493</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494</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479</v>
      </c>
      <c r="M77" s="31">
        <v>0.37708333333333333</v>
      </c>
      <c r="N77" s="38">
        <v>0.89861111111111114</v>
      </c>
      <c r="O77" s="31" t="str">
        <f ca="1">IF($A$4="平日","8:03","7:54")</f>
        <v>8:03</v>
      </c>
      <c r="P77" s="40">
        <f ca="1">IF($A$4="平日",125.9,125.4)</f>
        <v>125.9</v>
      </c>
      <c r="Q77" s="31" t="str">
        <f ca="1">IF($A$4="平日","8:23","8:14")</f>
        <v>8:23</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479</v>
      </c>
      <c r="M78" s="31">
        <v>0.37708333333333333</v>
      </c>
      <c r="N78" s="38">
        <v>0.86388888888888893</v>
      </c>
      <c r="O78" s="31" t="str">
        <f ca="1">IF($A$4="平日","7:13","7:04")</f>
        <v>7:13</v>
      </c>
      <c r="P78" s="40">
        <f ca="1">IF($A$4="平日",101.8,101.3)</f>
        <v>101.8</v>
      </c>
      <c r="Q78" s="31" t="str">
        <f ca="1">IF($A$4="平日","7:33","7:24")</f>
        <v>7:33</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f ca="1">IF($A$4="平日",101.8,101.3)</f>
        <v>101.8</v>
      </c>
      <c r="W80" s="30" t="s">
        <v>109</v>
      </c>
    </row>
    <row r="81" spans="2:31">
      <c r="B81" s="44" t="s">
        <v>495</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592</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593</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592</v>
      </c>
      <c r="M84" s="31">
        <v>0.82638888888888884</v>
      </c>
      <c r="N84" s="38">
        <v>0.86944444444444446</v>
      </c>
      <c r="O84" s="31">
        <v>5.9027777777777776E-2</v>
      </c>
      <c r="P84" s="39">
        <v>21.5</v>
      </c>
      <c r="Q84" s="36">
        <v>6.0416666666666667E-2</v>
      </c>
      <c r="W84" s="30" t="s">
        <v>109</v>
      </c>
    </row>
    <row r="85" spans="2:31">
      <c r="B85" s="44" t="s">
        <v>496</v>
      </c>
      <c r="C85" s="45"/>
      <c r="D85" s="36">
        <v>0.32500000000000001</v>
      </c>
      <c r="E85" s="36">
        <v>0.32500000000000001</v>
      </c>
      <c r="F85" s="36">
        <v>0.41736111111111113</v>
      </c>
      <c r="G85" s="36">
        <v>0.41736111111111113</v>
      </c>
      <c r="H85" s="30" t="s">
        <v>38</v>
      </c>
      <c r="I85" s="38">
        <v>0.33541666666666664</v>
      </c>
      <c r="J85" s="30" t="s">
        <v>38</v>
      </c>
      <c r="K85" s="38">
        <v>0.41041666666666665</v>
      </c>
      <c r="L85" s="29" t="s">
        <v>481</v>
      </c>
      <c r="M85" s="31">
        <v>0.34444444444444444</v>
      </c>
      <c r="N85" s="38">
        <v>0.40833333333333333</v>
      </c>
      <c r="O85" s="31">
        <v>7.4999999999999997E-2</v>
      </c>
      <c r="P85" s="39">
        <v>23.5</v>
      </c>
      <c r="Q85" s="36">
        <v>7.4999999999999997E-2</v>
      </c>
      <c r="W85" s="30" t="s">
        <v>109</v>
      </c>
    </row>
    <row r="86" spans="2:31">
      <c r="B86" s="44" t="s">
        <v>497</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498</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499</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7:07</v>
      </c>
      <c r="E89" s="31" t="str">
        <f ca="1">IF($A$4="平日","7:07","7:48")</f>
        <v>7:07</v>
      </c>
      <c r="F89" s="31" t="str">
        <f ca="1">IF($A$4="平日","21:12","19:11")</f>
        <v>21:12</v>
      </c>
      <c r="G89" s="31" t="str">
        <f ca="1">IF($A$4="平日","21:12","19:11")</f>
        <v>21:12</v>
      </c>
      <c r="H89" s="30" t="s">
        <v>38</v>
      </c>
      <c r="I89" s="31" t="str">
        <f ca="1">IF($A$4="平日","7:22","8:03")</f>
        <v>7:22</v>
      </c>
      <c r="J89" s="30" t="s">
        <v>38</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109</v>
      </c>
    </row>
    <row r="90" spans="2:31" ht="14.25" thickBot="1">
      <c r="B90" s="44" t="s">
        <v>259</v>
      </c>
      <c r="C90" s="46"/>
      <c r="D90" s="31">
        <v>0.3125</v>
      </c>
      <c r="E90" s="36">
        <v>0.3125</v>
      </c>
      <c r="F90" s="36">
        <v>0.75416666666666665</v>
      </c>
      <c r="G90" s="36">
        <v>0.75416666666666665</v>
      </c>
      <c r="H90" s="30" t="s">
        <v>38</v>
      </c>
      <c r="I90" s="38">
        <v>0.32291666666666669</v>
      </c>
      <c r="J90" s="30" t="s">
        <v>38</v>
      </c>
      <c r="K90" s="38">
        <v>0.74722222222222223</v>
      </c>
      <c r="L90" s="29" t="s">
        <v>148</v>
      </c>
      <c r="M90" s="31">
        <v>0.33194444444444443</v>
      </c>
      <c r="N90" s="38">
        <v>0.74027777777777781</v>
      </c>
      <c r="O90" s="31">
        <v>0.14861111111111111</v>
      </c>
      <c r="P90" s="39">
        <v>51.2</v>
      </c>
      <c r="Q90" s="36">
        <v>0.17083333333333334</v>
      </c>
      <c r="W90" s="30" t="s">
        <v>109</v>
      </c>
      <c r="AD90" s="110"/>
      <c r="AE90" s="110"/>
    </row>
    <row r="91" spans="2:31">
      <c r="B91" s="44" t="s">
        <v>602</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603</v>
      </c>
      <c r="C92" s="26"/>
      <c r="D92" s="36">
        <v>0.4548611111111111</v>
      </c>
      <c r="E92" s="36">
        <v>0.4548611111111111</v>
      </c>
      <c r="F92" s="36">
        <v>0.52847222222222223</v>
      </c>
      <c r="G92" s="36">
        <v>0.52847222222222223</v>
      </c>
      <c r="H92" s="30" t="s">
        <v>38</v>
      </c>
      <c r="I92" s="38">
        <v>0.46180555555555558</v>
      </c>
      <c r="J92" s="30" t="s">
        <v>38</v>
      </c>
      <c r="K92" s="31">
        <v>0.52152777777777781</v>
      </c>
      <c r="L92" s="28" t="s">
        <v>481</v>
      </c>
      <c r="M92" s="31">
        <v>0.46597222222222223</v>
      </c>
      <c r="N92" s="38">
        <v>0.51944444444444449</v>
      </c>
      <c r="O92" s="31">
        <v>5.9722222222222225E-2</v>
      </c>
      <c r="P92" s="39">
        <v>18.600000000000001</v>
      </c>
      <c r="Q92" s="36">
        <v>5.9722222222222225E-2</v>
      </c>
      <c r="W92" s="30" t="s">
        <v>109</v>
      </c>
    </row>
    <row r="93" spans="2:31">
      <c r="B93" s="44" t="s">
        <v>604</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605</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6:25</v>
      </c>
      <c r="E95" s="31" t="str">
        <f ca="1">IF($A$4="平日","6:25","6:47")</f>
        <v>6:25</v>
      </c>
      <c r="F95" s="31" t="str">
        <f ca="1">IF($A$4="平日","19:11","15:08")</f>
        <v>19:11</v>
      </c>
      <c r="G95" s="31" t="str">
        <f ca="1">IF($A$4="平日","19:11","15:08")</f>
        <v>19:11</v>
      </c>
      <c r="H95" s="30" t="s">
        <v>38</v>
      </c>
      <c r="I95" s="31" t="str">
        <f ca="1">IF($A$4="平日","6:40","7:02")</f>
        <v>6:40</v>
      </c>
      <c r="J95" s="30" t="s">
        <v>38</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109</v>
      </c>
    </row>
    <row r="96" spans="2:31">
      <c r="K96" s="37"/>
      <c r="R96" s="44"/>
      <c r="W96" s="30"/>
    </row>
    <row r="97" spans="2:24">
      <c r="B97" s="44" t="s">
        <v>261</v>
      </c>
      <c r="C97" s="46"/>
      <c r="D97" s="31" t="str">
        <f ca="1">IF($A$4="平日","6:07","9:22")</f>
        <v>6:07</v>
      </c>
      <c r="E97" s="31" t="str">
        <f ca="1">IF($A$4="平日","6:07","9:22")</f>
        <v>6:07</v>
      </c>
      <c r="F97" s="31" t="str">
        <f ca="1">IF($A$4="平日","18:49","18:49")</f>
        <v>18:49</v>
      </c>
      <c r="G97" s="31" t="str">
        <f ca="1">IF($A$4="平日","18:49","18:49")</f>
        <v>18:49</v>
      </c>
      <c r="H97" s="30" t="s">
        <v>38</v>
      </c>
      <c r="I97" s="31" t="str">
        <f ca="1">IF($A$4="平日","6:22","9:37")</f>
        <v>6:22</v>
      </c>
      <c r="J97" s="30" t="s">
        <v>38</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500</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592</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592</v>
      </c>
      <c r="M101" s="31">
        <v>0.71180555555555547</v>
      </c>
      <c r="N101" s="38">
        <v>0.82291666666666663</v>
      </c>
      <c r="O101" s="31">
        <v>0.12222222222222222</v>
      </c>
      <c r="P101" s="39">
        <v>36.4</v>
      </c>
      <c r="Q101" s="36">
        <v>0.12847222222222221</v>
      </c>
      <c r="W101" s="30" t="s">
        <v>109</v>
      </c>
    </row>
    <row r="102" spans="2:24">
      <c r="B102" s="44" t="s">
        <v>501</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502</v>
      </c>
      <c r="C103" s="45"/>
      <c r="D103" s="36">
        <v>0.5625</v>
      </c>
      <c r="E103" s="36">
        <v>0.5625</v>
      </c>
      <c r="F103" s="36">
        <v>0.64236111111111116</v>
      </c>
      <c r="G103" s="36">
        <v>0.64236111111111116</v>
      </c>
      <c r="H103" s="30" t="s">
        <v>38</v>
      </c>
      <c r="I103" s="38">
        <v>0.56944444444444442</v>
      </c>
      <c r="J103" s="30" t="s">
        <v>38</v>
      </c>
      <c r="K103" s="38">
        <v>0.63541666666666663</v>
      </c>
      <c r="L103" s="29" t="s">
        <v>503</v>
      </c>
      <c r="M103" s="31">
        <v>0.57986111111111116</v>
      </c>
      <c r="N103" s="38">
        <v>0.58680555555555558</v>
      </c>
      <c r="O103" s="31">
        <v>5.0694444444444445E-2</v>
      </c>
      <c r="P103" s="39">
        <v>14.9</v>
      </c>
      <c r="Q103" s="36">
        <v>5.2083333333333336E-2</v>
      </c>
      <c r="W103" s="30" t="s">
        <v>109</v>
      </c>
      <c r="X103"/>
    </row>
    <row r="104" spans="2:24">
      <c r="B104" s="44" t="s">
        <v>504</v>
      </c>
      <c r="C104" s="45"/>
      <c r="D104" s="36">
        <v>0.64236111111111116</v>
      </c>
      <c r="E104" s="36">
        <v>0.64236111111111116</v>
      </c>
      <c r="F104" s="36">
        <v>0.71875</v>
      </c>
      <c r="G104" s="36">
        <v>0.71875</v>
      </c>
      <c r="H104" s="30" t="s">
        <v>38</v>
      </c>
      <c r="I104" s="38">
        <v>0.64930555555555558</v>
      </c>
      <c r="J104" s="30" t="s">
        <v>38</v>
      </c>
      <c r="K104" s="38">
        <v>0.71180555555555558</v>
      </c>
      <c r="L104" s="29" t="s">
        <v>592</v>
      </c>
      <c r="M104" s="31">
        <v>0.65625</v>
      </c>
      <c r="N104" s="38">
        <v>0.70486111111111116</v>
      </c>
      <c r="O104" s="31">
        <v>5.0694444444444445E-2</v>
      </c>
      <c r="P104" s="39">
        <v>14.9</v>
      </c>
      <c r="Q104" s="36">
        <v>5.2083333333333336E-2</v>
      </c>
      <c r="W104" s="30" t="s">
        <v>109</v>
      </c>
      <c r="X104"/>
    </row>
    <row r="105" spans="2:24">
      <c r="B105" s="44" t="s">
        <v>505</v>
      </c>
      <c r="C105" s="45"/>
      <c r="D105" s="36">
        <v>0.76041666666666663</v>
      </c>
      <c r="E105" s="36">
        <v>0.76041666666666663</v>
      </c>
      <c r="F105" s="36">
        <v>0.84375</v>
      </c>
      <c r="G105" s="36">
        <v>0.84375</v>
      </c>
      <c r="H105" s="30" t="s">
        <v>38</v>
      </c>
      <c r="I105" s="38">
        <v>0.76736111111111116</v>
      </c>
      <c r="J105" s="30" t="s">
        <v>38</v>
      </c>
      <c r="K105" s="38">
        <v>0.83680555555555558</v>
      </c>
      <c r="L105" s="29" t="s">
        <v>593</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6:47</v>
      </c>
      <c r="E106" s="31" t="str">
        <f ca="1">IF($A$4="平日","6:47","10:56")</f>
        <v>6:47</v>
      </c>
      <c r="F106" s="31" t="str">
        <f ca="1">IF($A$4="平日","20:03","20:15")</f>
        <v>20:03</v>
      </c>
      <c r="G106" s="31" t="str">
        <f ca="1">IF($A$4="平日","20:03","20:15")</f>
        <v>20:03</v>
      </c>
      <c r="H106" s="30" t="s">
        <v>38</v>
      </c>
      <c r="I106" s="31" t="str">
        <f ca="1">IF($A$4="平日","7:02","11:11")</f>
        <v>7:02</v>
      </c>
      <c r="J106" s="30" t="s">
        <v>38</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109</v>
      </c>
      <c r="X106"/>
    </row>
    <row r="107" spans="2:24">
      <c r="B107" s="47" t="s">
        <v>267</v>
      </c>
      <c r="C107" s="46"/>
      <c r="D107" s="31" t="str">
        <f ca="1">IF($A$4="平日","6:27","8:53")</f>
        <v>6:27</v>
      </c>
      <c r="E107" s="31" t="str">
        <f ca="1">IF($A$4="平日","6:27","8:53")</f>
        <v>6:27</v>
      </c>
      <c r="F107" s="31" t="str">
        <f ca="1">IF($A$4="平日","20:18","17:39")</f>
        <v>20:18</v>
      </c>
      <c r="G107" s="31" t="str">
        <f ca="1">IF($A$4="平日","20:18","17:39")</f>
        <v>20:18</v>
      </c>
      <c r="H107" s="30" t="s">
        <v>38</v>
      </c>
      <c r="I107" s="31" t="str">
        <f ca="1">IF($A$4="平日","6:42","9:08")</f>
        <v>6:42</v>
      </c>
      <c r="J107" s="30" t="s">
        <v>38</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109</v>
      </c>
      <c r="X107" s="30"/>
    </row>
    <row r="108" spans="2:24">
      <c r="B108" s="47" t="s">
        <v>606</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607</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608</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609</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610</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611</v>
      </c>
      <c r="C112" s="47"/>
      <c r="D112" s="36">
        <v>0.39930555555555558</v>
      </c>
      <c r="E112" s="36">
        <v>0.39930555555555558</v>
      </c>
      <c r="F112" s="36">
        <v>0.47291666666666665</v>
      </c>
      <c r="G112" s="36">
        <v>0.47291666666666665</v>
      </c>
      <c r="H112" s="30" t="s">
        <v>38</v>
      </c>
      <c r="I112" s="38">
        <v>0.40625</v>
      </c>
      <c r="J112" s="30" t="s">
        <v>38</v>
      </c>
      <c r="K112" s="31">
        <v>0.46597222222222223</v>
      </c>
      <c r="L112" s="28" t="s">
        <v>481</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612</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481</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613</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6:59</v>
      </c>
      <c r="E115" s="31" t="str">
        <f ca="1">IF($A$4="平日","6:59","7:32")</f>
        <v>6:59</v>
      </c>
      <c r="F115" s="31" t="str">
        <f ca="1">IF($A$4="平日","20:15","15:53")</f>
        <v>20:15</v>
      </c>
      <c r="G115" s="31" t="str">
        <f ca="1">IF($A$4="平日","20:15","15:53")</f>
        <v>20:15</v>
      </c>
      <c r="H115" s="30" t="s">
        <v>38</v>
      </c>
      <c r="I115" s="31" t="str">
        <f ca="1">IF($A$4="平日","7:14","7:47")</f>
        <v>7:14</v>
      </c>
      <c r="J115" s="30" t="s">
        <v>38</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109</v>
      </c>
      <c r="X115"/>
    </row>
    <row r="116" spans="2:24">
      <c r="B116" s="47" t="s">
        <v>506</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614</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507</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615</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616</v>
      </c>
      <c r="M119" s="31">
        <v>0.41458333333333336</v>
      </c>
      <c r="N119" s="38">
        <v>0.50416666666666665</v>
      </c>
      <c r="O119" s="31">
        <v>8.8888888888888892E-2</v>
      </c>
      <c r="P119" s="39">
        <v>37.799999999999997</v>
      </c>
      <c r="Q119" s="36">
        <v>9.8611111111111108E-2</v>
      </c>
      <c r="W119" s="30" t="s">
        <v>109</v>
      </c>
      <c r="X119"/>
    </row>
    <row r="120" spans="2:24">
      <c r="B120" s="47" t="s">
        <v>617</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618</v>
      </c>
      <c r="M120" s="31">
        <v>0.5493055555555556</v>
      </c>
      <c r="N120" s="38">
        <v>0.60277777777777775</v>
      </c>
      <c r="O120" s="31">
        <v>5.9722222222222225E-2</v>
      </c>
      <c r="P120" s="39">
        <v>18.600000000000001</v>
      </c>
      <c r="Q120" s="36">
        <v>5.9722222222222225E-2</v>
      </c>
      <c r="W120" s="30" t="s">
        <v>109</v>
      </c>
      <c r="X120"/>
    </row>
    <row r="121" spans="2:24">
      <c r="B121" s="47" t="s">
        <v>619</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620</v>
      </c>
      <c r="M121" s="31">
        <v>0.63263888888888886</v>
      </c>
      <c r="N121" s="38">
        <v>0.68611111111111112</v>
      </c>
      <c r="O121" s="31">
        <v>5.9722222222222225E-2</v>
      </c>
      <c r="P121" s="39">
        <v>18.600000000000001</v>
      </c>
      <c r="Q121" s="36">
        <v>5.9722222222222225E-2</v>
      </c>
      <c r="W121" s="30" t="s">
        <v>109</v>
      </c>
      <c r="X121"/>
    </row>
    <row r="122" spans="2:24">
      <c r="B122" s="47" t="s">
        <v>480</v>
      </c>
      <c r="C122" s="46"/>
      <c r="D122" s="31" t="str">
        <f ca="1">IF($A$4="平日","6:41","9:29")</f>
        <v>6:41</v>
      </c>
      <c r="E122" s="31" t="str">
        <f ca="1">IF($A$4="平日","6:41","9:29")</f>
        <v>6:41</v>
      </c>
      <c r="F122" s="31" t="str">
        <f ca="1">IF($A$4="平日","19:43","16:41")</f>
        <v>19:43</v>
      </c>
      <c r="G122" s="31" t="str">
        <f ca="1">IF($A$4="平日","19:43","16:41")</f>
        <v>19:43</v>
      </c>
      <c r="H122" s="30" t="s">
        <v>38</v>
      </c>
      <c r="I122" s="31" t="str">
        <f ca="1">IF($A$4="平日","6:56","9:44")</f>
        <v>6:56</v>
      </c>
      <c r="J122" s="30" t="s">
        <v>38</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109</v>
      </c>
      <c r="X122"/>
    </row>
    <row r="123" spans="2:24">
      <c r="B123" s="47"/>
      <c r="C123" s="45"/>
      <c r="H123" s="30"/>
      <c r="I123" s="38"/>
      <c r="J123" s="30"/>
      <c r="K123" s="38"/>
      <c r="L123" s="29"/>
      <c r="M123" s="31"/>
      <c r="N123" s="38"/>
      <c r="O123" s="31"/>
      <c r="P123" s="39"/>
      <c r="Q123" s="36"/>
      <c r="W123" s="30"/>
      <c r="X123"/>
    </row>
    <row r="124" spans="2:24">
      <c r="B124" s="47" t="s">
        <v>508</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509</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510</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511</v>
      </c>
      <c r="M126" s="31">
        <v>0.6020833333333333</v>
      </c>
      <c r="N126" s="38">
        <v>0.7</v>
      </c>
      <c r="O126" s="31">
        <v>9.375E-2</v>
      </c>
      <c r="P126" s="39">
        <v>36.700000000000003</v>
      </c>
      <c r="Q126" s="36">
        <v>9.375E-2</v>
      </c>
      <c r="W126" s="30" t="s">
        <v>109</v>
      </c>
      <c r="X126"/>
    </row>
    <row r="127" spans="2:24">
      <c r="B127" s="47" t="s">
        <v>512</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511</v>
      </c>
      <c r="M127" s="31">
        <v>0.72916666666666663</v>
      </c>
      <c r="N127" s="38">
        <v>0.80347222222222225</v>
      </c>
      <c r="O127" s="31">
        <v>7.7083333333333337E-2</v>
      </c>
      <c r="P127" s="39">
        <v>28.1</v>
      </c>
      <c r="Q127" s="36">
        <v>8.5416666666666669E-2</v>
      </c>
      <c r="W127" s="30" t="s">
        <v>109</v>
      </c>
      <c r="X127"/>
    </row>
    <row r="128" spans="2:24">
      <c r="B128" s="47" t="s">
        <v>513</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511</v>
      </c>
      <c r="M128" s="31">
        <v>0.85763888888888884</v>
      </c>
      <c r="N128" s="38">
        <v>0.89652777777777781</v>
      </c>
      <c r="O128" s="31">
        <v>4.791666666666667E-2</v>
      </c>
      <c r="P128" s="39">
        <v>21.4</v>
      </c>
      <c r="Q128" s="36">
        <v>4.791666666666667E-2</v>
      </c>
      <c r="W128" s="30" t="s">
        <v>109</v>
      </c>
      <c r="X128"/>
    </row>
    <row r="129" spans="2:24">
      <c r="B129" s="47" t="s">
        <v>514</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515</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516</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516</v>
      </c>
      <c r="M131" s="31">
        <v>0.33680555555555558</v>
      </c>
      <c r="N131" s="31">
        <v>0.89652777777777781</v>
      </c>
      <c r="O131" s="31">
        <v>0.37013888888888891</v>
      </c>
      <c r="P131" s="40">
        <v>147.4</v>
      </c>
      <c r="Q131" s="31">
        <v>0.41041666666666665</v>
      </c>
      <c r="W131" s="30" t="s">
        <v>109</v>
      </c>
      <c r="X131"/>
    </row>
    <row r="132" spans="2:24">
      <c r="B132" s="47" t="s">
        <v>517</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452</v>
      </c>
      <c r="M132" s="31">
        <v>0.28958333333333336</v>
      </c>
      <c r="N132" s="38">
        <v>0.34027777777777779</v>
      </c>
      <c r="O132" s="31">
        <v>5.7638888888888892E-2</v>
      </c>
      <c r="P132" s="39">
        <v>21.4</v>
      </c>
      <c r="Q132" s="36">
        <v>5.7638888888888892E-2</v>
      </c>
      <c r="W132" s="30" t="s">
        <v>109</v>
      </c>
      <c r="X132"/>
    </row>
    <row r="133" spans="2:24">
      <c r="B133" s="47" t="s">
        <v>435</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452</v>
      </c>
      <c r="M133" s="31">
        <v>0.28958333333333336</v>
      </c>
      <c r="N133" s="38">
        <v>0.34027777777777779</v>
      </c>
      <c r="O133" s="31">
        <v>8.1944444444444445E-2</v>
      </c>
      <c r="P133" s="39">
        <v>36</v>
      </c>
      <c r="Q133" s="36">
        <v>8.1944444444444445E-2</v>
      </c>
      <c r="W133" s="30" t="s">
        <v>109</v>
      </c>
      <c r="X133"/>
    </row>
    <row r="134" spans="2:24">
      <c r="B134" s="47" t="s">
        <v>518</v>
      </c>
      <c r="C134" s="26"/>
      <c r="D134" s="36">
        <v>0.37916666666666665</v>
      </c>
      <c r="E134" s="36">
        <v>0.37916666666666665</v>
      </c>
      <c r="F134" s="36">
        <v>0.48055555555555557</v>
      </c>
      <c r="G134" s="36">
        <v>0.48055555555555557</v>
      </c>
      <c r="H134" s="30" t="s">
        <v>38</v>
      </c>
      <c r="I134" s="38">
        <v>0.38611111111111113</v>
      </c>
      <c r="J134" s="30" t="s">
        <v>38</v>
      </c>
      <c r="K134" s="38">
        <v>0.47361111111111115</v>
      </c>
      <c r="L134" s="28" t="s">
        <v>511</v>
      </c>
      <c r="M134" s="31">
        <v>0.38611111111111113</v>
      </c>
      <c r="N134" s="38">
        <v>0.46666666666666662</v>
      </c>
      <c r="O134" s="31">
        <v>8.0555555555555561E-2</v>
      </c>
      <c r="P134" s="39">
        <v>30.7</v>
      </c>
      <c r="Q134" s="36">
        <v>8.9583333333333334E-2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511</v>
      </c>
      <c r="M135" s="31">
        <v>0.28958333333333336</v>
      </c>
      <c r="N135" s="38">
        <v>0.46666666666666667</v>
      </c>
      <c r="O135" s="31">
        <v>0.16250000000000001</v>
      </c>
      <c r="P135" s="39">
        <v>66.7</v>
      </c>
      <c r="Q135" s="36">
        <v>0.18888888888888888</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452</v>
      </c>
      <c r="M136" s="31">
        <v>0.28958333333333336</v>
      </c>
      <c r="N136" s="38">
        <v>0.46666666666666667</v>
      </c>
      <c r="O136" s="31">
        <v>0.13819444444444445</v>
      </c>
      <c r="P136" s="39">
        <v>52.1</v>
      </c>
      <c r="Q136" s="36">
        <v>0.16458333333333333</v>
      </c>
      <c r="W136" s="30" t="s">
        <v>109</v>
      </c>
      <c r="X136"/>
    </row>
    <row r="137" spans="2:24">
      <c r="B137" s="47" t="s">
        <v>456</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464</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519</v>
      </c>
      <c r="C139" s="26"/>
      <c r="D139" s="36">
        <v>0.61875000000000002</v>
      </c>
      <c r="E139" s="36">
        <v>0.61875000000000002</v>
      </c>
      <c r="F139" s="36">
        <v>0.71250000000000002</v>
      </c>
      <c r="G139" s="36">
        <v>0.71250000000000002</v>
      </c>
      <c r="H139" s="30" t="s">
        <v>38</v>
      </c>
      <c r="I139" s="38">
        <v>0.62569444444444444</v>
      </c>
      <c r="J139" s="30" t="s">
        <v>38</v>
      </c>
      <c r="K139" s="38">
        <v>0.7055555555555556</v>
      </c>
      <c r="L139" s="29" t="s">
        <v>156</v>
      </c>
      <c r="M139" s="31">
        <v>0.63472222222222219</v>
      </c>
      <c r="N139" s="38">
        <v>0.69861111111111107</v>
      </c>
      <c r="O139" s="31">
        <v>7.4305555555555555E-2</v>
      </c>
      <c r="P139" s="39">
        <v>30.3</v>
      </c>
      <c r="Q139" s="36">
        <v>7.9861111111111105E-2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5:56</v>
      </c>
      <c r="E141" s="31" t="str">
        <f ca="1">IF($A$4="平日","5:56","11:27")</f>
        <v>5:56</v>
      </c>
      <c r="F141" s="36">
        <v>0.85486111111111107</v>
      </c>
      <c r="G141" s="36">
        <v>0.85486111111111107</v>
      </c>
      <c r="H141" s="30" t="s">
        <v>38</v>
      </c>
      <c r="I141" s="31" t="str">
        <f ca="1">IF($A$4="平日","6:11","11:37")</f>
        <v>6:11</v>
      </c>
      <c r="J141" s="30" t="s">
        <v>38</v>
      </c>
      <c r="K141" s="38">
        <v>0.84791666666666665</v>
      </c>
      <c r="L141" s="30" t="str">
        <f ca="1">IF($A$4="平日","464     1025","1025")</f>
        <v>464     1025</v>
      </c>
      <c r="M141" s="31" t="str">
        <f ca="1">IF($A$4="平日","6:24","11:50")</f>
        <v>6:24</v>
      </c>
      <c r="N141" s="38">
        <v>0.84097222222222223</v>
      </c>
      <c r="O141" s="31" t="str">
        <f ca="1">IF($A$4="平日","8:13","6:06")</f>
        <v>8:13</v>
      </c>
      <c r="P141" s="40">
        <f ca="1">IF($A$4="平日",131,98)</f>
        <v>131</v>
      </c>
      <c r="Q141" s="31" t="str">
        <f ca="1">IF($A$4="平日","9:18","6:59")</f>
        <v>9:18</v>
      </c>
      <c r="W141" s="30" t="s">
        <v>109</v>
      </c>
      <c r="X141"/>
    </row>
    <row r="142" spans="2:24">
      <c r="B142" s="47" t="s">
        <v>520</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482</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521</v>
      </c>
      <c r="C145" s="26"/>
      <c r="D145" s="36">
        <v>0.6069444444444444</v>
      </c>
      <c r="E145" s="36">
        <v>0.6069444444444444</v>
      </c>
      <c r="F145" s="36">
        <v>0.72222222222222221</v>
      </c>
      <c r="G145" s="36">
        <v>0.72222222222222221</v>
      </c>
      <c r="H145" s="30" t="s">
        <v>38</v>
      </c>
      <c r="I145" s="38">
        <v>0.61388888888888893</v>
      </c>
      <c r="J145" s="30" t="s">
        <v>53</v>
      </c>
      <c r="K145" s="38">
        <v>0.71527777777777779</v>
      </c>
      <c r="L145" s="29" t="s">
        <v>70</v>
      </c>
      <c r="M145" s="31">
        <v>0.61388888888888893</v>
      </c>
      <c r="N145" s="38">
        <v>0.70833333333333337</v>
      </c>
      <c r="O145" s="31">
        <v>9.583333333333334E-2</v>
      </c>
      <c r="P145" s="39">
        <v>33.9</v>
      </c>
      <c r="Q145" s="36">
        <v>9.8611111111111108E-2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522</v>
      </c>
      <c r="M148" s="31">
        <v>0.26250000000000001</v>
      </c>
      <c r="N148" s="31">
        <v>0.80902777777777779</v>
      </c>
      <c r="O148" s="31">
        <v>0.39861111111111114</v>
      </c>
      <c r="P148" s="40">
        <v>148.5</v>
      </c>
      <c r="Q148" s="31">
        <v>0.43611111111111112</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522</v>
      </c>
      <c r="M149" s="31">
        <v>0.26250000000000001</v>
      </c>
      <c r="N149" s="31">
        <v>0.78472222222222221</v>
      </c>
      <c r="O149" s="31">
        <v>0.37430555555555556</v>
      </c>
      <c r="P149" s="40">
        <v>133.9</v>
      </c>
      <c r="Q149" s="31">
        <v>0.41180555555555554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8">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8">
        <v>0.32013888888888886</v>
      </c>
      <c r="O151" s="31">
        <v>7.1527777777777773E-2</v>
      </c>
      <c r="P151" s="39">
        <v>33</v>
      </c>
      <c r="Q151" s="36">
        <v>7.1527777777777773E-2</v>
      </c>
      <c r="W151" s="30" t="s">
        <v>109</v>
      </c>
      <c r="X151"/>
    </row>
    <row r="152" spans="2:24">
      <c r="B152" s="47" t="s">
        <v>523</v>
      </c>
      <c r="C152" s="26"/>
      <c r="D152" s="36">
        <v>0.32569444444444445</v>
      </c>
      <c r="E152" s="36">
        <v>0.32569444444444445</v>
      </c>
      <c r="F152" s="36">
        <v>0.45</v>
      </c>
      <c r="G152" s="36">
        <v>0.45</v>
      </c>
      <c r="H152" s="30" t="s">
        <v>38</v>
      </c>
      <c r="I152" s="38">
        <v>0.33263888888888887</v>
      </c>
      <c r="J152" s="30" t="s">
        <v>38</v>
      </c>
      <c r="K152" s="38">
        <v>0.44305555555555554</v>
      </c>
      <c r="L152" s="29" t="s">
        <v>70</v>
      </c>
      <c r="M152" s="31">
        <v>0.34166666666666667</v>
      </c>
      <c r="N152" s="38">
        <v>0.44305555555555554</v>
      </c>
      <c r="O152" s="31">
        <v>9.583333333333334E-2</v>
      </c>
      <c r="P152" s="39">
        <v>36.9</v>
      </c>
      <c r="Q152" s="36">
        <v>0.10555555555555556</v>
      </c>
      <c r="W152" s="30" t="s">
        <v>109</v>
      </c>
      <c r="X152"/>
    </row>
    <row r="153" spans="2:24">
      <c r="B153" s="47" t="s">
        <v>281</v>
      </c>
      <c r="C153" s="87"/>
      <c r="D153" s="36">
        <v>0.23819444444444443</v>
      </c>
      <c r="E153" s="36">
        <v>0.23819444444444443</v>
      </c>
      <c r="F153" s="36">
        <v>0.45</v>
      </c>
      <c r="G153" s="36">
        <v>0.45</v>
      </c>
      <c r="H153" s="30" t="s">
        <v>38</v>
      </c>
      <c r="I153" s="38">
        <v>0.24861111111111112</v>
      </c>
      <c r="J153" s="30" t="s">
        <v>38</v>
      </c>
      <c r="K153" s="38">
        <v>0.44305555555555554</v>
      </c>
      <c r="L153" s="29" t="s">
        <v>70</v>
      </c>
      <c r="M153" s="31">
        <v>0.24861111111111112</v>
      </c>
      <c r="N153" s="38">
        <v>0.44305555555555554</v>
      </c>
      <c r="O153" s="31">
        <v>0.1673611111111111</v>
      </c>
      <c r="P153" s="39">
        <v>69.900000000000006</v>
      </c>
      <c r="Q153" s="36">
        <v>0.19444444444444445</v>
      </c>
      <c r="W153" s="30" t="s">
        <v>109</v>
      </c>
      <c r="X153"/>
    </row>
    <row r="154" spans="2:24">
      <c r="B154" s="47" t="s">
        <v>282</v>
      </c>
      <c r="C154" s="46"/>
      <c r="D154" s="31">
        <v>0.26458333333333334</v>
      </c>
      <c r="E154" s="31">
        <v>0.26458333333333334</v>
      </c>
      <c r="F154" s="36">
        <v>0.45</v>
      </c>
      <c r="G154" s="36">
        <v>0.45</v>
      </c>
      <c r="H154" s="30" t="s">
        <v>54</v>
      </c>
      <c r="I154" s="31">
        <v>0.27500000000000002</v>
      </c>
      <c r="J154" s="30" t="s">
        <v>38</v>
      </c>
      <c r="K154" s="38">
        <v>0.44305555555555554</v>
      </c>
      <c r="L154" s="29" t="s">
        <v>70</v>
      </c>
      <c r="M154" s="31">
        <v>0.27500000000000002</v>
      </c>
      <c r="N154" s="38">
        <v>0.44305555555555554</v>
      </c>
      <c r="O154" s="38">
        <v>0.14305555555555555</v>
      </c>
      <c r="P154" s="40">
        <v>55.3</v>
      </c>
      <c r="Q154" s="31">
        <v>0.1701388888888889</v>
      </c>
      <c r="R154" s="39">
        <v>133.9</v>
      </c>
      <c r="W154" s="30" t="s">
        <v>109</v>
      </c>
      <c r="X154"/>
    </row>
    <row r="155" spans="2:24">
      <c r="K155" s="37"/>
      <c r="W155" s="30"/>
      <c r="X155"/>
    </row>
    <row r="156" spans="2:24">
      <c r="B156" s="47" t="s">
        <v>524</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525</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621</v>
      </c>
      <c r="D158" s="36">
        <v>0.57638888888888884</v>
      </c>
      <c r="E158" s="36">
        <v>0.57638888888888884</v>
      </c>
      <c r="F158" s="36">
        <v>0.67152777777777772</v>
      </c>
      <c r="G158" s="36">
        <v>0.67152777777777772</v>
      </c>
      <c r="H158" s="30" t="s">
        <v>38</v>
      </c>
      <c r="I158" s="37">
        <v>0.58333333333333337</v>
      </c>
      <c r="J158" s="30" t="s">
        <v>38</v>
      </c>
      <c r="K158" s="37">
        <v>0.6645833333333333</v>
      </c>
      <c r="L158" s="28">
        <v>1086</v>
      </c>
      <c r="M158" s="36">
        <v>0.59236111111111112</v>
      </c>
      <c r="N158" s="37">
        <v>0.6645833333333333</v>
      </c>
      <c r="O158" s="37">
        <v>7.4305555555555555E-2</v>
      </c>
      <c r="P158" s="39">
        <v>33.4</v>
      </c>
      <c r="Q158" s="36">
        <v>8.1250000000000003E-2</v>
      </c>
      <c r="W158" s="30" t="s">
        <v>109</v>
      </c>
      <c r="X158"/>
    </row>
    <row r="159" spans="2:24">
      <c r="B159" s="47" t="s">
        <v>526</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527</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528</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529</v>
      </c>
      <c r="M162" s="31">
        <v>0.30277777777777776</v>
      </c>
      <c r="N162" s="38">
        <v>0.88611111111111107</v>
      </c>
      <c r="O162" s="31">
        <v>0.40208333333333335</v>
      </c>
      <c r="P162" s="39">
        <v>165.7</v>
      </c>
      <c r="Q162" s="36">
        <v>0.43888888888888888</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529</v>
      </c>
      <c r="M163" s="31">
        <v>0.30277777777777776</v>
      </c>
      <c r="N163" s="38">
        <v>0.8618055555555556</v>
      </c>
      <c r="O163" s="31">
        <v>0.37777777777777777</v>
      </c>
      <c r="P163" s="39">
        <v>151.1</v>
      </c>
      <c r="Q163" s="36">
        <v>0.41458333333333336</v>
      </c>
      <c r="W163" s="30" t="s">
        <v>109</v>
      </c>
      <c r="X163"/>
    </row>
    <row r="164" spans="2:24">
      <c r="B164" s="47" t="s">
        <v>530</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531</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9:29</v>
      </c>
      <c r="E170" s="31" t="str">
        <f ca="1">IF($A$4="平日","9:29","9:24")</f>
        <v>9:29</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532</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5:32</v>
      </c>
      <c r="E173" s="31" t="str">
        <f ca="1">IF($A$4="平日","5:32","9:24")</f>
        <v>5:32</v>
      </c>
      <c r="F173" s="31">
        <v>0.82500000000000007</v>
      </c>
      <c r="G173" s="31">
        <v>0.82500000000000007</v>
      </c>
      <c r="H173" s="30" t="s">
        <v>38</v>
      </c>
      <c r="I173" s="38" t="str">
        <f ca="1">IF($A$4="平日","5:47","9:39")</f>
        <v>5:47</v>
      </c>
      <c r="J173" s="30" t="s">
        <v>38</v>
      </c>
      <c r="K173" s="38">
        <v>0.81805555555555554</v>
      </c>
      <c r="L173" s="28" t="s">
        <v>111</v>
      </c>
      <c r="M173" s="31" t="str">
        <f ca="1">IF($A$4="平日","6:00","9:52")</f>
        <v>6:00</v>
      </c>
      <c r="N173" s="38">
        <v>0.81111111111111101</v>
      </c>
      <c r="O173" s="30" t="str">
        <f ca="1">IF($A$4="平日","8:16","6:04")</f>
        <v>8:16</v>
      </c>
      <c r="P173" s="40">
        <f ca="1">IF($A$4="平日",141.1,106.4)</f>
        <v>141.1</v>
      </c>
      <c r="Q173" s="30" t="str">
        <f ca="1">IF($A$4="平日","9:16","6:55")</f>
        <v>9:16</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483</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622</v>
      </c>
      <c r="C176" s="26"/>
      <c r="D176" s="36">
        <v>0.5708333333333333</v>
      </c>
      <c r="E176" s="36">
        <v>0.5708333333333333</v>
      </c>
      <c r="F176" s="36">
        <v>0.67638888888888893</v>
      </c>
      <c r="G176" s="36">
        <v>0.67638888888888893</v>
      </c>
      <c r="H176" s="30" t="s">
        <v>38</v>
      </c>
      <c r="I176" s="38">
        <v>0.57777777777777772</v>
      </c>
      <c r="J176" s="30" t="s">
        <v>38</v>
      </c>
      <c r="K176" s="38">
        <v>0.6694444444444444</v>
      </c>
      <c r="L176" s="28">
        <v>1088</v>
      </c>
      <c r="M176" s="31">
        <v>0.57777777777777772</v>
      </c>
      <c r="N176" s="38">
        <v>0.66249999999999998</v>
      </c>
      <c r="O176" s="31">
        <v>8.4722222222222227E-2</v>
      </c>
      <c r="P176" s="39">
        <v>32.299999999999997</v>
      </c>
      <c r="Q176" s="36">
        <v>9.375E-2</v>
      </c>
      <c r="W176" s="30" t="s">
        <v>109</v>
      </c>
      <c r="X176"/>
    </row>
    <row r="177" spans="2:24">
      <c r="B177" s="47" t="s">
        <v>533</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534</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535</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453</v>
      </c>
      <c r="M180" s="31">
        <v>0.35069444444444442</v>
      </c>
      <c r="N180" s="38">
        <v>0.91874999999999996</v>
      </c>
      <c r="O180" s="31">
        <v>0.3611111111111111</v>
      </c>
      <c r="P180" s="39">
        <v>135.69999999999999</v>
      </c>
      <c r="Q180" s="36">
        <v>0.3972222222222222</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453</v>
      </c>
      <c r="M181" s="31">
        <v>0.35069444444444442</v>
      </c>
      <c r="N181" s="38">
        <v>0.89444444444444449</v>
      </c>
      <c r="O181" s="31">
        <v>0.33680555555555558</v>
      </c>
      <c r="P181" s="39">
        <v>121.1</v>
      </c>
      <c r="Q181" s="36">
        <v>0.37291666666666667</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v>121.1</v>
      </c>
      <c r="W183" s="30" t="s">
        <v>109</v>
      </c>
      <c r="X183"/>
    </row>
    <row r="184" spans="2:24">
      <c r="K184" s="37"/>
      <c r="W184" s="30"/>
      <c r="X184"/>
    </row>
    <row r="185" spans="2:24">
      <c r="B185" s="47" t="s">
        <v>536</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537</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449</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7:13</v>
      </c>
      <c r="E190" s="31" t="str">
        <f ca="1">IF($A$4="平日","7:13","11:34")</f>
        <v>7:13</v>
      </c>
      <c r="F190" s="31">
        <v>0.90625</v>
      </c>
      <c r="G190" s="31">
        <v>0.90625</v>
      </c>
      <c r="H190" s="30" t="s">
        <v>38</v>
      </c>
      <c r="I190" s="31" t="str">
        <f ca="1">IF($A$4="平日","7:28","11:44")</f>
        <v>7:28</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406</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538</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539</v>
      </c>
      <c r="C198" s="47"/>
      <c r="D198" s="36">
        <v>0.50972222222222219</v>
      </c>
      <c r="E198" s="36">
        <v>0.50972222222222219</v>
      </c>
      <c r="F198" s="36">
        <v>0.62222222222222223</v>
      </c>
      <c r="G198" s="36">
        <v>0.62222222222222223</v>
      </c>
      <c r="H198" s="30" t="s">
        <v>38</v>
      </c>
      <c r="I198" s="38">
        <v>0.51666666666666672</v>
      </c>
      <c r="J198" s="30" t="s">
        <v>38</v>
      </c>
      <c r="K198" s="38">
        <v>0.61527777777777781</v>
      </c>
      <c r="L198" s="28" t="s">
        <v>152</v>
      </c>
      <c r="M198" s="31">
        <v>0.52569444444444446</v>
      </c>
      <c r="N198" s="38">
        <v>0.61527777777777781</v>
      </c>
      <c r="O198" s="31">
        <v>8.9583333333333334E-2</v>
      </c>
      <c r="P198" s="39">
        <v>34.700000000000003</v>
      </c>
      <c r="Q198" s="36">
        <v>9.8611111111111108E-2</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540</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0.32500000000000001</v>
      </c>
      <c r="P201" s="39">
        <v>123.6</v>
      </c>
      <c r="Q201" s="31">
        <v>0.37222222222222223</v>
      </c>
      <c r="R201" s="28"/>
      <c r="W201" s="30" t="s">
        <v>109</v>
      </c>
      <c r="X201"/>
    </row>
    <row r="202" spans="2:24">
      <c r="B202" s="47" t="s">
        <v>541</v>
      </c>
      <c r="C202" s="47"/>
      <c r="D202" s="36">
        <v>0.26111111111111113</v>
      </c>
      <c r="E202" s="36">
        <v>0.26111111111111113</v>
      </c>
      <c r="F202" s="36">
        <v>0.36388888888888887</v>
      </c>
      <c r="G202" s="36">
        <v>0.36388888888888887</v>
      </c>
      <c r="H202" s="30" t="s">
        <v>38</v>
      </c>
      <c r="I202" s="38">
        <v>0.27152777777777776</v>
      </c>
      <c r="J202" s="30" t="s">
        <v>38</v>
      </c>
      <c r="K202" s="38">
        <v>0.35694444444444445</v>
      </c>
      <c r="L202" s="28" t="s">
        <v>66</v>
      </c>
      <c r="M202" s="31">
        <v>0.28055555555555556</v>
      </c>
      <c r="N202" s="38">
        <v>0.35</v>
      </c>
      <c r="O202" s="31">
        <v>8.1250000000000003E-2</v>
      </c>
      <c r="P202" s="39">
        <v>33</v>
      </c>
      <c r="Q202" s="36">
        <v>8.5416666666666669E-2</v>
      </c>
      <c r="W202" s="30" t="s">
        <v>109</v>
      </c>
      <c r="X202"/>
    </row>
    <row r="203" spans="2:24">
      <c r="B203" s="47" t="s">
        <v>542</v>
      </c>
      <c r="C203" s="47"/>
      <c r="D203" s="36">
        <v>0.41041666666666665</v>
      </c>
      <c r="E203" s="36">
        <v>0.41041666666666665</v>
      </c>
      <c r="F203" s="36">
        <v>0.49375000000000002</v>
      </c>
      <c r="G203" s="36">
        <v>0.49375000000000002</v>
      </c>
      <c r="H203" s="30" t="s">
        <v>38</v>
      </c>
      <c r="I203" s="38">
        <v>0.41736111111111113</v>
      </c>
      <c r="J203" s="30" t="s">
        <v>38</v>
      </c>
      <c r="K203" s="38">
        <v>0.48680555555555555</v>
      </c>
      <c r="L203" s="28" t="s">
        <v>66</v>
      </c>
      <c r="M203" s="31">
        <v>0.42638888888888887</v>
      </c>
      <c r="N203" s="38">
        <v>0.47986111111111113</v>
      </c>
      <c r="O203" s="31">
        <v>6.3194444444444442E-2</v>
      </c>
      <c r="P203" s="39">
        <v>25</v>
      </c>
      <c r="Q203" s="36">
        <v>6.9444444444444448E-2</v>
      </c>
      <c r="W203" s="30" t="s">
        <v>109</v>
      </c>
      <c r="X203"/>
    </row>
    <row r="204" spans="2:24">
      <c r="B204" s="47" t="s">
        <v>307</v>
      </c>
      <c r="C204" s="47"/>
      <c r="D204" s="31">
        <v>0.52569444444444446</v>
      </c>
      <c r="E204" s="31">
        <v>0.52569444444444446</v>
      </c>
      <c r="F204" s="36">
        <v>0.63749999999999996</v>
      </c>
      <c r="G204" s="36">
        <v>0.63749999999999996</v>
      </c>
      <c r="H204" s="30" t="s">
        <v>38</v>
      </c>
      <c r="I204" s="38">
        <v>0.53263888888888888</v>
      </c>
      <c r="J204" s="30" t="s">
        <v>38</v>
      </c>
      <c r="K204" s="38">
        <v>0.63055555555555554</v>
      </c>
      <c r="L204" s="28" t="s">
        <v>66</v>
      </c>
      <c r="M204" s="31">
        <v>0.54166666666666663</v>
      </c>
      <c r="N204" s="38">
        <v>0.62361111111111112</v>
      </c>
      <c r="O204" s="31">
        <v>9.2361111111111116E-2</v>
      </c>
      <c r="P204" s="39">
        <v>42.8</v>
      </c>
      <c r="Q204" s="31">
        <v>9.7916666666666666E-2</v>
      </c>
      <c r="W204" s="30" t="s">
        <v>109</v>
      </c>
      <c r="X204"/>
    </row>
    <row r="205" spans="2:24">
      <c r="B205" s="47" t="s">
        <v>308</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543</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309</v>
      </c>
      <c r="C207" s="46"/>
      <c r="D207" s="31">
        <v>0.26111111111111113</v>
      </c>
      <c r="E207" s="31">
        <v>0.26111111111111113</v>
      </c>
      <c r="F207" s="36">
        <v>0.86111111111111116</v>
      </c>
      <c r="G207" s="36">
        <v>0.86111111111111116</v>
      </c>
      <c r="H207" s="30" t="s">
        <v>38</v>
      </c>
      <c r="I207" s="38">
        <v>0.27152777777777776</v>
      </c>
      <c r="J207" s="30" t="s">
        <v>38</v>
      </c>
      <c r="K207" s="38">
        <v>0.85416666666666663</v>
      </c>
      <c r="L207" s="28" t="s">
        <v>66</v>
      </c>
      <c r="M207" s="31">
        <v>0.28055555555555556</v>
      </c>
      <c r="N207" s="38">
        <v>0.84722222222222221</v>
      </c>
      <c r="O207" s="31">
        <v>0.38472222222222224</v>
      </c>
      <c r="P207" s="39">
        <v>159.4</v>
      </c>
      <c r="Q207" s="31">
        <v>0.43125000000000002</v>
      </c>
      <c r="R207" s="39"/>
      <c r="W207" s="30" t="s">
        <v>109</v>
      </c>
      <c r="X207"/>
    </row>
    <row r="208" spans="2:24">
      <c r="B208" s="47" t="s">
        <v>310</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v>159.4</v>
      </c>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623</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311</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484</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457</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312</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313</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314</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315</v>
      </c>
      <c r="M216" s="31">
        <v>0.25972222222222224</v>
      </c>
      <c r="N216" s="38">
        <v>0.85555555555555551</v>
      </c>
      <c r="O216" s="31">
        <v>0.38263888888888886</v>
      </c>
      <c r="P216" s="39">
        <v>149.30000000000001</v>
      </c>
      <c r="Q216" s="36">
        <v>0.4152777777777778</v>
      </c>
      <c r="W216" s="30" t="s">
        <v>109</v>
      </c>
      <c r="X216"/>
    </row>
    <row r="217" spans="2:24">
      <c r="B217" s="47" t="s">
        <v>316</v>
      </c>
      <c r="C217" s="46"/>
      <c r="D217" s="36">
        <v>0.24027777777777778</v>
      </c>
      <c r="E217" s="36">
        <v>0.24027777777777778</v>
      </c>
      <c r="F217" s="36">
        <v>0.85069444444444442</v>
      </c>
      <c r="G217" s="36">
        <v>0.85069444444444442</v>
      </c>
      <c r="H217" s="30" t="s">
        <v>38</v>
      </c>
      <c r="I217" s="38">
        <v>0.25069444444444444</v>
      </c>
      <c r="J217" s="30" t="s">
        <v>54</v>
      </c>
      <c r="K217" s="38">
        <v>0.84375</v>
      </c>
      <c r="L217" s="28" t="s">
        <v>315</v>
      </c>
      <c r="M217" s="31">
        <v>0.25972222222222224</v>
      </c>
      <c r="N217" s="38">
        <v>0.83472222222222225</v>
      </c>
      <c r="O217" s="31">
        <v>0.37083333333333335</v>
      </c>
      <c r="P217" s="39">
        <v>142.30000000000001</v>
      </c>
      <c r="Q217" s="36">
        <v>0.40347222222222223</v>
      </c>
      <c r="W217" s="30" t="s">
        <v>109</v>
      </c>
      <c r="X217"/>
    </row>
    <row r="218" spans="2:24">
      <c r="B218" s="47" t="s">
        <v>317</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318</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544</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319</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320</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545</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458</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38</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109</v>
      </c>
      <c r="X224"/>
    </row>
    <row r="225" spans="2:24">
      <c r="B225" s="47" t="s">
        <v>459</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321</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322</v>
      </c>
      <c r="C227" s="46"/>
      <c r="D227" s="31" t="str">
        <f ca="1">IF($A$4="平日","5:38","8:36")</f>
        <v>5:38</v>
      </c>
      <c r="E227" s="31" t="str">
        <f ca="1">IF($A$4="平日","5:38","8:36")</f>
        <v>5:38</v>
      </c>
      <c r="F227" s="36">
        <v>0.8520833333333333</v>
      </c>
      <c r="G227" s="36">
        <v>0.8520833333333333</v>
      </c>
      <c r="H227" s="30" t="s">
        <v>38</v>
      </c>
      <c r="I227" s="31" t="str">
        <f ca="1">IF($A$4="平日","5:53","8:51")</f>
        <v>5:53</v>
      </c>
      <c r="J227" s="30" t="s">
        <v>38</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109</v>
      </c>
      <c r="X227"/>
    </row>
    <row r="228" spans="2:24">
      <c r="B228" s="47" t="s">
        <v>624</v>
      </c>
      <c r="C228" s="47"/>
      <c r="D228" s="36">
        <v>0.25694444444444442</v>
      </c>
      <c r="E228" s="36">
        <v>0.25694444444444442</v>
      </c>
      <c r="F228" s="36">
        <v>0.35416666666666669</v>
      </c>
      <c r="G228" s="36">
        <v>0.35416666666666669</v>
      </c>
      <c r="H228" s="30" t="s">
        <v>38</v>
      </c>
      <c r="I228" s="38">
        <v>0.2673611111111111</v>
      </c>
      <c r="J228" s="30" t="s">
        <v>38</v>
      </c>
      <c r="K228" s="38">
        <v>0.34722222222222221</v>
      </c>
      <c r="L228" s="28" t="s">
        <v>168</v>
      </c>
      <c r="M228" s="31">
        <v>0.27152777777777776</v>
      </c>
      <c r="N228" s="38">
        <v>0.34513888888888888</v>
      </c>
      <c r="O228" s="31">
        <v>7.6388888888888895E-2</v>
      </c>
      <c r="P228" s="39">
        <v>30.6</v>
      </c>
      <c r="Q228" s="36">
        <v>7.9861111111111105E-2</v>
      </c>
      <c r="W228" s="30" t="s">
        <v>109</v>
      </c>
      <c r="X228"/>
    </row>
    <row r="229" spans="2:24">
      <c r="B229" s="47" t="s">
        <v>460</v>
      </c>
      <c r="C229" s="47"/>
      <c r="D229" s="36">
        <v>0.41944444444444445</v>
      </c>
      <c r="E229" s="36">
        <v>0.41944444444444445</v>
      </c>
      <c r="F229" s="36">
        <v>0.51875000000000004</v>
      </c>
      <c r="G229" s="36">
        <v>0.51875000000000004</v>
      </c>
      <c r="H229" s="30" t="s">
        <v>38</v>
      </c>
      <c r="I229" s="38">
        <v>0.42638888888888887</v>
      </c>
      <c r="J229" s="30" t="s">
        <v>38</v>
      </c>
      <c r="K229" s="38">
        <v>0.51180555555555551</v>
      </c>
      <c r="L229" s="28" t="s">
        <v>168</v>
      </c>
      <c r="M229" s="31">
        <v>0.43541666666666667</v>
      </c>
      <c r="N229" s="38">
        <v>0.50486111111111109</v>
      </c>
      <c r="O229" s="31">
        <v>7.7083333333333337E-2</v>
      </c>
      <c r="P229" s="39">
        <v>29.4</v>
      </c>
      <c r="Q229" s="36">
        <v>8.5416666666666669E-2</v>
      </c>
      <c r="R229" s="31"/>
      <c r="W229" s="30" t="s">
        <v>109</v>
      </c>
      <c r="X229"/>
    </row>
    <row r="230" spans="2:24">
      <c r="B230" s="47" t="s">
        <v>546</v>
      </c>
      <c r="C230" s="47"/>
      <c r="D230" s="36">
        <v>0.53541666666666665</v>
      </c>
      <c r="E230" s="36">
        <v>0.53541666666666665</v>
      </c>
      <c r="F230" s="36">
        <v>0.61875000000000002</v>
      </c>
      <c r="G230" s="36">
        <v>0.61875000000000002</v>
      </c>
      <c r="H230" s="30" t="s">
        <v>38</v>
      </c>
      <c r="I230" s="38">
        <v>0.54236111111111107</v>
      </c>
      <c r="J230" s="30" t="s">
        <v>38</v>
      </c>
      <c r="K230" s="38">
        <v>0.6118055555555556</v>
      </c>
      <c r="L230" s="28">
        <v>1106</v>
      </c>
      <c r="M230" s="31">
        <v>0.55138888888888893</v>
      </c>
      <c r="N230" s="38">
        <v>0.60486111111111107</v>
      </c>
      <c r="O230" s="31">
        <v>6.3194444444444442E-2</v>
      </c>
      <c r="P230" s="39">
        <v>25</v>
      </c>
      <c r="Q230" s="36">
        <v>6.9444444444444448E-2</v>
      </c>
      <c r="W230" s="30" t="s">
        <v>109</v>
      </c>
      <c r="X230"/>
    </row>
    <row r="231" spans="2:24">
      <c r="B231" s="47" t="s">
        <v>323</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324</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325</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326</v>
      </c>
      <c r="C234" s="87"/>
      <c r="D234" s="36">
        <v>0.25694444444444442</v>
      </c>
      <c r="E234" s="36">
        <v>0.25694444444444442</v>
      </c>
      <c r="F234" s="36">
        <v>0.84861111111111109</v>
      </c>
      <c r="G234" s="36">
        <v>0.84861111111111109</v>
      </c>
      <c r="H234" s="30" t="s">
        <v>38</v>
      </c>
      <c r="I234" s="38">
        <v>0.2673611111111111</v>
      </c>
      <c r="J234" s="30" t="s">
        <v>38</v>
      </c>
      <c r="K234" s="38">
        <v>0.84166666666666667</v>
      </c>
      <c r="L234" s="28" t="s">
        <v>594</v>
      </c>
      <c r="M234" s="31">
        <v>0.27152777777777776</v>
      </c>
      <c r="N234" s="38">
        <v>0.84166666666666667</v>
      </c>
      <c r="O234" s="31">
        <v>0.36736111111111114</v>
      </c>
      <c r="P234" s="39">
        <v>144.30000000000001</v>
      </c>
      <c r="Q234" s="36">
        <v>0.40902777777777777</v>
      </c>
      <c r="W234" s="30" t="s">
        <v>109</v>
      </c>
      <c r="X234"/>
    </row>
    <row r="235" spans="2:24">
      <c r="B235" s="47" t="s">
        <v>327</v>
      </c>
      <c r="C235" s="46"/>
      <c r="D235" s="36">
        <v>0.25694444444444442</v>
      </c>
      <c r="E235" s="36">
        <v>0.25694444444444442</v>
      </c>
      <c r="F235" s="36">
        <v>0.82430555555555551</v>
      </c>
      <c r="G235" s="36">
        <v>0.82430555555555551</v>
      </c>
      <c r="H235" s="30" t="s">
        <v>38</v>
      </c>
      <c r="I235" s="38">
        <v>0.2673611111111111</v>
      </c>
      <c r="J235" s="30" t="s">
        <v>54</v>
      </c>
      <c r="K235" s="38">
        <v>0.81736111111111109</v>
      </c>
      <c r="L235" s="28" t="s">
        <v>594</v>
      </c>
      <c r="M235" s="31">
        <v>0.27152777777777776</v>
      </c>
      <c r="N235" s="38">
        <v>0.81736111111111109</v>
      </c>
      <c r="O235" s="31">
        <v>0.34305555555555556</v>
      </c>
      <c r="P235" s="39">
        <v>129.69999999999999</v>
      </c>
      <c r="Q235" s="36">
        <v>0.38472222222222224</v>
      </c>
      <c r="W235" s="30" t="s">
        <v>109</v>
      </c>
      <c r="X235"/>
    </row>
    <row r="236" spans="2:24">
      <c r="B236" s="47" t="s">
        <v>328</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329</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625</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330</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331</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v>129.69999999999999</v>
      </c>
      <c r="W240" s="30" t="s">
        <v>109</v>
      </c>
      <c r="X240"/>
    </row>
    <row r="241" spans="2:24">
      <c r="K241" s="37"/>
      <c r="W241" s="30"/>
      <c r="X241"/>
    </row>
    <row r="242" spans="2:24">
      <c r="B242" s="47" t="s">
        <v>461</v>
      </c>
      <c r="C242" s="47"/>
      <c r="D242" s="36">
        <v>0.29444444444444445</v>
      </c>
      <c r="E242" s="36">
        <v>0.29444444444444445</v>
      </c>
      <c r="F242" s="36">
        <v>0.40625</v>
      </c>
      <c r="G242" s="36">
        <v>0.40625</v>
      </c>
      <c r="H242" s="30" t="s">
        <v>38</v>
      </c>
      <c r="I242" s="38">
        <v>0.30486111111111114</v>
      </c>
      <c r="J242" s="30" t="s">
        <v>38</v>
      </c>
      <c r="K242" s="38">
        <v>0.39930555555555558</v>
      </c>
      <c r="L242" s="28" t="s">
        <v>113</v>
      </c>
      <c r="M242" s="31">
        <v>0.31388888888888888</v>
      </c>
      <c r="N242" s="38">
        <v>0.3923611111111111</v>
      </c>
      <c r="O242" s="31">
        <v>8.9583333333333334E-2</v>
      </c>
      <c r="P242" s="39">
        <v>33</v>
      </c>
      <c r="Q242" s="36">
        <v>9.4444444444444442E-2</v>
      </c>
      <c r="W242" s="30" t="s">
        <v>109</v>
      </c>
      <c r="X242"/>
    </row>
    <row r="243" spans="2:24">
      <c r="B243" s="47" t="s">
        <v>547</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332</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548</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333</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334</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335</v>
      </c>
      <c r="C248" s="87"/>
      <c r="D248" s="36">
        <v>0.29444444444444445</v>
      </c>
      <c r="E248" s="36">
        <v>0.29444444444444445</v>
      </c>
      <c r="F248" s="36">
        <v>0.90902777777777777</v>
      </c>
      <c r="G248" s="36">
        <v>0.90902777777777777</v>
      </c>
      <c r="H248" s="30" t="s">
        <v>38</v>
      </c>
      <c r="I248" s="38">
        <v>0.30486111111111114</v>
      </c>
      <c r="J248" s="30" t="s">
        <v>38</v>
      </c>
      <c r="K248" s="38">
        <v>0.90208333333333324</v>
      </c>
      <c r="L248" s="28" t="s">
        <v>336</v>
      </c>
      <c r="M248" s="31">
        <v>0.31388888888888888</v>
      </c>
      <c r="N248" s="38">
        <v>0.90208333333333324</v>
      </c>
      <c r="O248" s="31">
        <v>0.39166666666666666</v>
      </c>
      <c r="P248" s="39">
        <v>167.1</v>
      </c>
      <c r="Q248" s="36">
        <v>0.43472222222222223</v>
      </c>
      <c r="W248" s="30" t="s">
        <v>109</v>
      </c>
      <c r="X248"/>
    </row>
    <row r="249" spans="2:24">
      <c r="B249" s="47" t="s">
        <v>337</v>
      </c>
      <c r="C249" s="46"/>
      <c r="D249" s="36">
        <v>0.29444444444444445</v>
      </c>
      <c r="E249" s="36">
        <v>0.29444444444444445</v>
      </c>
      <c r="F249" s="36">
        <v>0.88472222222222219</v>
      </c>
      <c r="G249" s="36">
        <v>0.8847222222222223</v>
      </c>
      <c r="H249" s="30" t="s">
        <v>38</v>
      </c>
      <c r="I249" s="38">
        <v>0.30486111111111114</v>
      </c>
      <c r="J249" s="30" t="s">
        <v>155</v>
      </c>
      <c r="K249" s="38">
        <v>0.87777777777777777</v>
      </c>
      <c r="L249" s="28" t="s">
        <v>336</v>
      </c>
      <c r="M249" s="31">
        <v>0.31388888888888888</v>
      </c>
      <c r="N249" s="38">
        <v>0.87777777777777777</v>
      </c>
      <c r="O249" s="31">
        <v>0.36736111111111114</v>
      </c>
      <c r="P249" s="39">
        <v>150.5</v>
      </c>
      <c r="Q249" s="36">
        <v>0.41041666666666665</v>
      </c>
      <c r="W249" s="30" t="s">
        <v>109</v>
      </c>
      <c r="X249"/>
    </row>
    <row r="250" spans="2:24">
      <c r="B250" s="47" t="s">
        <v>338</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339</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340</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341</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342</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549</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550</v>
      </c>
      <c r="C256" s="47"/>
      <c r="D256" s="36">
        <v>0.48819444444444443</v>
      </c>
      <c r="E256" s="36">
        <v>0.48819444444444443</v>
      </c>
      <c r="F256" s="36">
        <v>0.57708333333333328</v>
      </c>
      <c r="G256" s="36">
        <v>0.57708333333333328</v>
      </c>
      <c r="H256" s="30" t="s">
        <v>38</v>
      </c>
      <c r="I256" s="38">
        <v>0.49513888888888891</v>
      </c>
      <c r="J256" s="30" t="s">
        <v>38</v>
      </c>
      <c r="K256" s="38">
        <v>0.57013888888888886</v>
      </c>
      <c r="L256" s="28" t="s">
        <v>113</v>
      </c>
      <c r="M256" s="31">
        <v>0.49513888888888891</v>
      </c>
      <c r="N256" s="38">
        <v>0.56319444444444444</v>
      </c>
      <c r="O256" s="31" t="str">
        <f ca="1">IF($A$4="平日","1:37","1:34")</f>
        <v>1:37</v>
      </c>
      <c r="P256" s="39">
        <f ca="1">IF($A$4="平日",25.1,25.1)</f>
        <v>25.1</v>
      </c>
      <c r="Q256" s="31" t="str">
        <f ca="1">IF($A$4="平日","1:51","1:48")</f>
        <v>1:51</v>
      </c>
      <c r="W256" s="30" t="s">
        <v>109</v>
      </c>
      <c r="X256"/>
    </row>
    <row r="257" spans="2:24">
      <c r="B257" s="47" t="s">
        <v>551</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552</v>
      </c>
      <c r="C258" s="47"/>
      <c r="D258" s="31">
        <v>0.74861111111111112</v>
      </c>
      <c r="E258" s="31">
        <v>0.74861111111111112</v>
      </c>
      <c r="F258" s="36">
        <v>0.87986111111111109</v>
      </c>
      <c r="G258" s="36">
        <v>0.87986111111111109</v>
      </c>
      <c r="H258" s="30" t="s">
        <v>38</v>
      </c>
      <c r="I258" s="38">
        <v>0.75555555555555554</v>
      </c>
      <c r="J258" s="30" t="s">
        <v>38</v>
      </c>
      <c r="K258" s="38">
        <v>0.87291666666666667</v>
      </c>
      <c r="L258" s="28" t="s">
        <v>113</v>
      </c>
      <c r="M258" s="31">
        <v>0.75555555555555554</v>
      </c>
      <c r="N258" s="38">
        <v>0.86597222222222225</v>
      </c>
      <c r="O258" s="31">
        <v>0.1</v>
      </c>
      <c r="P258" s="39">
        <v>42</v>
      </c>
      <c r="Q258" s="36">
        <v>0.10833333333333334</v>
      </c>
      <c r="R258" s="31"/>
      <c r="S258" s="28"/>
      <c r="T258" s="28"/>
      <c r="W258" s="30" t="s">
        <v>109</v>
      </c>
      <c r="X258"/>
    </row>
    <row r="259" spans="2:24">
      <c r="B259" s="47" t="s">
        <v>553</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343</v>
      </c>
      <c r="C260" s="46"/>
      <c r="D260" s="31" t="str">
        <f ca="1">IF($A$4="平日","6:17","11:43")</f>
        <v>6:17</v>
      </c>
      <c r="E260" s="31" t="str">
        <f ca="1">IF($A$4="平日","6:17","11:43")</f>
        <v>6:17</v>
      </c>
      <c r="F260" s="31">
        <v>0.87986111111111109</v>
      </c>
      <c r="G260" s="31">
        <v>0.87986111111111109</v>
      </c>
      <c r="H260" s="30" t="s">
        <v>38</v>
      </c>
      <c r="I260" s="31" t="str">
        <f ca="1">IF($A$4="平日","6:32","11:53")</f>
        <v>6:32</v>
      </c>
      <c r="J260" s="30" t="s">
        <v>38</v>
      </c>
      <c r="K260" s="38">
        <v>0.87291666666666667</v>
      </c>
      <c r="L260" s="30" t="str">
        <f ca="1">IF($A$4="平日","1005    1057","1057")</f>
        <v>1005    1057</v>
      </c>
      <c r="M260" s="31" t="str">
        <f ca="1">IF($A$4="平日","6:45","11:53")</f>
        <v>6:45</v>
      </c>
      <c r="N260" s="31">
        <v>0.86597222222222225</v>
      </c>
      <c r="O260" s="31" t="str">
        <f ca="1">IF($A$4="平日","8:10","5:08")</f>
        <v>8:10</v>
      </c>
      <c r="P260" s="40">
        <f ca="1">IF($A$4="平日",127.5,82.9)</f>
        <v>127.5</v>
      </c>
      <c r="Q260" s="31" t="str">
        <f ca="1">IF($A$4="平日","9:05","5:54")</f>
        <v>9:05</v>
      </c>
      <c r="W260" s="30" t="s">
        <v>109</v>
      </c>
      <c r="X260"/>
    </row>
    <row r="261" spans="2:24">
      <c r="B261" s="47" t="s">
        <v>554</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555</v>
      </c>
      <c r="C262" s="47"/>
      <c r="D262" s="31">
        <v>0.43472222222222223</v>
      </c>
      <c r="E262" s="31">
        <v>0.43472222222222223</v>
      </c>
      <c r="F262" s="36">
        <v>0.56666666666666665</v>
      </c>
      <c r="G262" s="36">
        <v>0.56666666666666665</v>
      </c>
      <c r="H262" s="30" t="s">
        <v>38</v>
      </c>
      <c r="I262" s="38">
        <v>0.44166666666666665</v>
      </c>
      <c r="J262" s="30" t="s">
        <v>38</v>
      </c>
      <c r="K262" s="38">
        <v>0.55972222222222223</v>
      </c>
      <c r="L262" s="28" t="s">
        <v>158</v>
      </c>
      <c r="M262" s="31">
        <v>0.44166666666666665</v>
      </c>
      <c r="N262" s="38">
        <v>0.55972222222222223</v>
      </c>
      <c r="O262" s="31">
        <v>0.10138888888888889</v>
      </c>
      <c r="P262" s="39">
        <v>39.299999999999997</v>
      </c>
      <c r="Q262" s="36">
        <v>0.10902777777777778</v>
      </c>
      <c r="W262" s="30" t="s">
        <v>109</v>
      </c>
      <c r="X262"/>
    </row>
    <row r="263" spans="2:24">
      <c r="B263" s="47" t="s">
        <v>462</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344</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345</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0.36944444444444446</v>
      </c>
      <c r="P265" s="39">
        <v>136.9</v>
      </c>
      <c r="Q265" s="31">
        <v>0.40972222222222221</v>
      </c>
      <c r="W265" s="30" t="s">
        <v>109</v>
      </c>
      <c r="X265"/>
    </row>
    <row r="266" spans="2:24">
      <c r="B266" s="47" t="s">
        <v>346</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v>136.9</v>
      </c>
      <c r="W266" s="30" t="s">
        <v>109</v>
      </c>
      <c r="X266"/>
    </row>
    <row r="267" spans="2:24">
      <c r="K267" s="37"/>
      <c r="W267" s="30"/>
      <c r="X267"/>
    </row>
    <row r="268" spans="2:24">
      <c r="B268" s="47" t="s">
        <v>556</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557</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558</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347</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348</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349</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350</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351</v>
      </c>
      <c r="M274" s="31">
        <v>0.34375</v>
      </c>
      <c r="N274" s="31">
        <v>0.90069444444444446</v>
      </c>
      <c r="O274" s="31">
        <v>0.37222222222222223</v>
      </c>
      <c r="P274" s="39">
        <v>149.19999999999999</v>
      </c>
      <c r="Q274" s="31">
        <v>0.40486111111111112</v>
      </c>
      <c r="W274" s="30" t="s">
        <v>109</v>
      </c>
      <c r="X274"/>
    </row>
    <row r="275" spans="2:24">
      <c r="B275" s="47" t="s">
        <v>352</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351</v>
      </c>
      <c r="M275" s="31">
        <v>0.34375</v>
      </c>
      <c r="N275" s="31">
        <v>0.87986111111111109</v>
      </c>
      <c r="O275" s="31">
        <v>0.35138888888888886</v>
      </c>
      <c r="P275" s="39">
        <v>135.4</v>
      </c>
      <c r="Q275" s="31">
        <v>0.3840277777777778</v>
      </c>
      <c r="W275" s="30" t="s">
        <v>109</v>
      </c>
      <c r="X275"/>
    </row>
    <row r="276" spans="2:24">
      <c r="B276" s="153" t="str">
        <f ca="1">IF($A$4="平日","８-２ 7:05-8:18","８-２ (休) 7:05-7:48")</f>
        <v>８-２ 7:05-8:18</v>
      </c>
      <c r="D276" s="31">
        <v>0.28472222222222221</v>
      </c>
      <c r="E276" s="31">
        <v>0.28472222222222221</v>
      </c>
      <c r="F276" s="31" t="str">
        <f ca="1">IF($A$4="平日","8:28","8:08")</f>
        <v>8:28</v>
      </c>
      <c r="G276" s="31" t="str">
        <f ca="1">IF($A$4="平日","8:28","8:08")</f>
        <v>8:28</v>
      </c>
      <c r="H276" s="30" t="s">
        <v>159</v>
      </c>
      <c r="I276" s="31">
        <v>0.2951388888888889</v>
      </c>
      <c r="J276" s="30" t="s">
        <v>38</v>
      </c>
      <c r="K276" s="31" t="str">
        <f ca="1">IF($A$4="平日","8:18","7:58")</f>
        <v>8:18</v>
      </c>
      <c r="L276" s="28" t="s">
        <v>160</v>
      </c>
      <c r="M276" s="31">
        <v>0.2951388888888889</v>
      </c>
      <c r="N276" s="31" t="str">
        <f ca="1">IF($A$4="平日","8:18","7:48")</f>
        <v>8:18</v>
      </c>
      <c r="O276" s="31" t="str">
        <f ca="1">IF($A$4="平日","1:07","0:53")</f>
        <v>1:07</v>
      </c>
      <c r="P276" s="39">
        <f ca="1">IF($A$4="平日",18.6,15.9)</f>
        <v>18.600000000000001</v>
      </c>
      <c r="Q276" s="31" t="str">
        <f ca="1">IF($A$4="平日","1:13","0:53")</f>
        <v>1:13</v>
      </c>
      <c r="W276" s="30" t="s">
        <v>109</v>
      </c>
      <c r="X276"/>
    </row>
    <row r="277" spans="2:24">
      <c r="B277" s="153" t="str">
        <f ca="1">IF($A$4="平日","８-２ 6:32-8:18(回送行)","８-２ (休) 6:32-7:48(回送行)")</f>
        <v>８-２ 6:32-8:18(回送行)</v>
      </c>
      <c r="D277" s="31">
        <v>0.26180555555555557</v>
      </c>
      <c r="E277" s="31">
        <v>0.26180555555555557</v>
      </c>
      <c r="F277" s="31" t="str">
        <f ca="1">IF($A$4="平日","8:28","8:08")</f>
        <v>8:28</v>
      </c>
      <c r="G277" s="31" t="str">
        <f ca="1">IF($A$4="平日","8:28","8:08")</f>
        <v>8:28</v>
      </c>
      <c r="H277" s="30" t="s">
        <v>38</v>
      </c>
      <c r="I277" s="31">
        <v>0.2722222222222222</v>
      </c>
      <c r="J277" s="30" t="s">
        <v>38</v>
      </c>
      <c r="K277" s="31" t="str">
        <f ca="1">IF($A$4="平日","8:18","7:58")</f>
        <v>8:18</v>
      </c>
      <c r="L277" s="28" t="s">
        <v>160</v>
      </c>
      <c r="M277" s="31">
        <v>0.2722222222222222</v>
      </c>
      <c r="N277" s="31" t="str">
        <f ca="1">IF($A$4="平日","8:18","7:48")</f>
        <v>8:18</v>
      </c>
      <c r="O277" s="31" t="str">
        <f ca="1">IF($A$4="平日","1:40","1:26")</f>
        <v>1:40</v>
      </c>
      <c r="P277" s="39">
        <f ca="1">IF($A$4="平日",32.4,29.7)</f>
        <v>32.4</v>
      </c>
      <c r="Q277" s="31" t="str">
        <f ca="1">IF($A$4="平日","1:46","1:26")</f>
        <v>1:46</v>
      </c>
      <c r="W277" s="30" t="s">
        <v>109</v>
      </c>
      <c r="X277"/>
    </row>
    <row r="278" spans="2:24">
      <c r="B278" s="44" t="s">
        <v>626</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353</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627</v>
      </c>
      <c r="M279" s="31">
        <v>0.2722222222222222</v>
      </c>
      <c r="N279" s="31">
        <v>0.43611111111111112</v>
      </c>
      <c r="O279" s="31" t="str">
        <f ca="1">IF($A$4="平日","3:06","2:52")</f>
        <v>3:06</v>
      </c>
      <c r="P279" s="39">
        <f ca="1">IF($A$4="平日",51,48.3)</f>
        <v>51</v>
      </c>
      <c r="Q279" s="31" t="str">
        <f ca="1">IF($A$4="平日","3:37","3:17")</f>
        <v>3:37</v>
      </c>
      <c r="R279" s="31"/>
      <c r="W279" s="30" t="s">
        <v>109</v>
      </c>
      <c r="X279"/>
    </row>
    <row r="280" spans="2:24">
      <c r="B280" s="47" t="s">
        <v>354</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627</v>
      </c>
      <c r="M280" s="31">
        <v>0.2951388888888889</v>
      </c>
      <c r="N280" s="31">
        <v>0.43611111111111112</v>
      </c>
      <c r="O280" s="31" t="str">
        <f ca="1">IF($A$4="平日","2:33","2:19")</f>
        <v>2:33</v>
      </c>
      <c r="P280" s="39">
        <f ca="1">IF($A$4="平日",37.2,34.5)</f>
        <v>37.200000000000003</v>
      </c>
      <c r="Q280" s="31" t="str">
        <f ca="1">IF($A$4="平日","3:04","2:44")</f>
        <v>3:04</v>
      </c>
      <c r="W280" s="30" t="s">
        <v>109</v>
      </c>
      <c r="X280"/>
    </row>
    <row r="281" spans="2:24">
      <c r="B281" s="47" t="s">
        <v>628</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629</v>
      </c>
      <c r="M281" s="31">
        <v>0.27430555555555558</v>
      </c>
      <c r="N281" s="38">
        <v>0.35902777777777778</v>
      </c>
      <c r="O281" s="31">
        <v>9.2361111111111116E-2</v>
      </c>
      <c r="P281" s="39">
        <v>30.6</v>
      </c>
      <c r="Q281" s="36">
        <v>0.10069444444444445</v>
      </c>
      <c r="W281" s="30" t="s">
        <v>109</v>
      </c>
      <c r="X281"/>
    </row>
    <row r="282" spans="2:24">
      <c r="B282" s="47" t="s">
        <v>559</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560</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465</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355</v>
      </c>
      <c r="C285" s="46"/>
      <c r="D285" s="31" t="str">
        <f ca="1">IF($A$4="平日","6:07","9:59")</f>
        <v>6:07</v>
      </c>
      <c r="E285" s="31" t="str">
        <f ca="1">IF($A$4="平日","6:07","9:59")</f>
        <v>6:07</v>
      </c>
      <c r="F285" s="31">
        <v>0.87638888888888888</v>
      </c>
      <c r="G285" s="31">
        <v>0.87638888888888888</v>
      </c>
      <c r="H285" s="30" t="s">
        <v>38</v>
      </c>
      <c r="I285" s="31" t="str">
        <f ca="1">IF($A$4="平日","6:22","10:09")</f>
        <v>6:22</v>
      </c>
      <c r="J285" s="30" t="s">
        <v>38</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109</v>
      </c>
      <c r="X285"/>
    </row>
    <row r="286" spans="2:24">
      <c r="B286" s="47" t="s">
        <v>630</v>
      </c>
      <c r="C286" s="47"/>
      <c r="D286" s="36">
        <v>0.39374999999999999</v>
      </c>
      <c r="E286" s="36">
        <v>0.39374999999999999</v>
      </c>
      <c r="F286" s="36">
        <v>0.5229166666666667</v>
      </c>
      <c r="G286" s="36">
        <v>0.5229166666666667</v>
      </c>
      <c r="H286" s="30" t="s">
        <v>38</v>
      </c>
      <c r="I286" s="38">
        <v>0.40069444444444446</v>
      </c>
      <c r="J286" s="30" t="s">
        <v>38</v>
      </c>
      <c r="K286" s="38">
        <v>0.51597222222222228</v>
      </c>
      <c r="L286" s="28" t="s">
        <v>478</v>
      </c>
      <c r="M286" s="31">
        <v>0.40486111111111112</v>
      </c>
      <c r="N286" s="38">
        <v>0.51388888888888884</v>
      </c>
      <c r="O286" s="31">
        <v>0.11527777777777778</v>
      </c>
      <c r="P286" s="39">
        <v>35</v>
      </c>
      <c r="Q286" s="36">
        <v>0.11527777777777778</v>
      </c>
      <c r="W286" s="30" t="s">
        <v>109</v>
      </c>
      <c r="X286"/>
    </row>
    <row r="287" spans="2:24">
      <c r="B287" s="47" t="s">
        <v>561</v>
      </c>
      <c r="C287" s="47"/>
      <c r="D287" s="36">
        <v>0.52916666666666667</v>
      </c>
      <c r="E287" s="36">
        <v>0.52916666666666667</v>
      </c>
      <c r="F287" s="36">
        <v>0.62847222222222221</v>
      </c>
      <c r="G287" s="36">
        <v>0.62847222222222221</v>
      </c>
      <c r="H287" s="30" t="s">
        <v>38</v>
      </c>
      <c r="I287" s="38">
        <v>0.53611111111111109</v>
      </c>
      <c r="J287" s="30" t="s">
        <v>38</v>
      </c>
      <c r="K287" s="38">
        <v>0.62152777777777779</v>
      </c>
      <c r="L287" s="28" t="s">
        <v>166</v>
      </c>
      <c r="M287" s="31">
        <v>0.54513888888888884</v>
      </c>
      <c r="N287" s="38">
        <v>0.61458333333333337</v>
      </c>
      <c r="O287" s="31">
        <v>7.7083333333333337E-2</v>
      </c>
      <c r="P287" s="39">
        <v>29.4</v>
      </c>
      <c r="Q287" s="36">
        <v>8.5416666666666669E-2</v>
      </c>
      <c r="W287" s="30" t="s">
        <v>109</v>
      </c>
      <c r="X287"/>
    </row>
    <row r="288" spans="2:24">
      <c r="B288" s="47" t="s">
        <v>436</v>
      </c>
      <c r="C288" s="47"/>
      <c r="D288" s="36">
        <v>0.69513888888888886</v>
      </c>
      <c r="E288" s="36">
        <v>0.69513888888888886</v>
      </c>
      <c r="F288" s="36">
        <v>0.78541666666666665</v>
      </c>
      <c r="G288" s="36">
        <v>0.78541666666666665</v>
      </c>
      <c r="H288" s="30" t="s">
        <v>38</v>
      </c>
      <c r="I288" s="38">
        <v>0.70208333333333328</v>
      </c>
      <c r="J288" s="30" t="s">
        <v>38</v>
      </c>
      <c r="K288" s="38">
        <v>0.77847222222222223</v>
      </c>
      <c r="L288" s="28" t="s">
        <v>166</v>
      </c>
      <c r="M288" s="31">
        <v>0.70625000000000004</v>
      </c>
      <c r="N288" s="38">
        <v>0.77638888888888891</v>
      </c>
      <c r="O288" s="31">
        <v>7.2916666666666671E-2</v>
      </c>
      <c r="P288" s="39">
        <v>30.6</v>
      </c>
      <c r="Q288" s="36">
        <v>7.6388888888888895E-2</v>
      </c>
      <c r="W288" s="30" t="s">
        <v>109</v>
      </c>
      <c r="X288"/>
    </row>
    <row r="289" spans="2:24">
      <c r="B289" s="47" t="s">
        <v>356</v>
      </c>
      <c r="C289" s="47"/>
      <c r="D289" s="36">
        <v>0.79513888888888884</v>
      </c>
      <c r="E289" s="36">
        <v>0.79513888888888884</v>
      </c>
      <c r="F289" s="36">
        <v>0.84583333333333333</v>
      </c>
      <c r="G289" s="36">
        <v>0.84583333333333333</v>
      </c>
      <c r="H289" s="30" t="s">
        <v>38</v>
      </c>
      <c r="I289" s="38">
        <v>0.80208333333333337</v>
      </c>
      <c r="J289" s="30" t="s">
        <v>159</v>
      </c>
      <c r="K289" s="38">
        <v>0.83888888888888891</v>
      </c>
      <c r="L289" s="28" t="s">
        <v>166</v>
      </c>
      <c r="M289" s="31">
        <v>0.81111111111111112</v>
      </c>
      <c r="N289" s="38">
        <v>0.83888888888888891</v>
      </c>
      <c r="O289" s="31">
        <v>3.6805555555555557E-2</v>
      </c>
      <c r="P289" s="39">
        <v>15.9</v>
      </c>
      <c r="Q289" s="36">
        <v>3.6805555555555557E-2</v>
      </c>
      <c r="W289" s="30" t="s">
        <v>109</v>
      </c>
      <c r="X289"/>
    </row>
    <row r="290" spans="2:24">
      <c r="B290" s="47" t="s">
        <v>357</v>
      </c>
      <c r="C290" s="47"/>
      <c r="D290" s="36">
        <v>0.79513888888888884</v>
      </c>
      <c r="E290" s="36">
        <v>0.79513888888888884</v>
      </c>
      <c r="F290" s="36">
        <v>0.8666666666666667</v>
      </c>
      <c r="G290" s="36">
        <v>0.8666666666666667</v>
      </c>
      <c r="H290" s="30" t="s">
        <v>38</v>
      </c>
      <c r="I290" s="38">
        <v>0.80208333333333337</v>
      </c>
      <c r="J290" s="30" t="s">
        <v>38</v>
      </c>
      <c r="K290" s="38">
        <v>0.85972222222222228</v>
      </c>
      <c r="L290" s="28" t="s">
        <v>166</v>
      </c>
      <c r="M290" s="31">
        <v>0.81111111111111112</v>
      </c>
      <c r="N290" s="38">
        <v>0.85972222222222228</v>
      </c>
      <c r="O290" s="31">
        <v>5.7638888888888892E-2</v>
      </c>
      <c r="P290" s="39">
        <v>29.7</v>
      </c>
      <c r="Q290" s="36">
        <v>5.7638888888888892E-2</v>
      </c>
      <c r="W290" s="30" t="s">
        <v>109</v>
      </c>
      <c r="X290"/>
    </row>
    <row r="291" spans="2:24">
      <c r="B291" s="47" t="s">
        <v>358</v>
      </c>
      <c r="C291" s="87"/>
      <c r="D291" s="31">
        <v>0.39374999999999999</v>
      </c>
      <c r="E291" s="31">
        <v>0.39374999999999999</v>
      </c>
      <c r="F291" s="31">
        <v>0.8666666666666667</v>
      </c>
      <c r="G291" s="31">
        <v>0.8666666666666667</v>
      </c>
      <c r="H291" s="30" t="s">
        <v>38</v>
      </c>
      <c r="I291" s="38">
        <v>0.40069444444444446</v>
      </c>
      <c r="J291" s="30" t="s">
        <v>38</v>
      </c>
      <c r="K291" s="38">
        <v>0.85972222222222228</v>
      </c>
      <c r="L291" s="30" t="s">
        <v>631</v>
      </c>
      <c r="M291" s="31">
        <v>0.40486111111111112</v>
      </c>
      <c r="N291" s="31">
        <v>0.85972222222222228</v>
      </c>
      <c r="O291" s="31">
        <v>0.32291666666666669</v>
      </c>
      <c r="P291" s="40">
        <v>124.7</v>
      </c>
      <c r="Q291" s="31">
        <v>0.34861111111111109</v>
      </c>
      <c r="W291" s="30" t="s">
        <v>109</v>
      </c>
      <c r="X291"/>
    </row>
    <row r="292" spans="2:24">
      <c r="B292" s="47" t="s">
        <v>359</v>
      </c>
      <c r="C292" s="46"/>
      <c r="D292" s="31">
        <v>0.39374999999999999</v>
      </c>
      <c r="E292" s="31">
        <v>0.39374999999999999</v>
      </c>
      <c r="F292" s="31">
        <v>0.84583333333333333</v>
      </c>
      <c r="G292" s="31">
        <v>0.84583333333333333</v>
      </c>
      <c r="H292" s="30" t="s">
        <v>38</v>
      </c>
      <c r="I292" s="31">
        <v>0.40069444444444446</v>
      </c>
      <c r="J292" s="30" t="s">
        <v>159</v>
      </c>
      <c r="K292" s="38">
        <v>0.83888888888888891</v>
      </c>
      <c r="L292" s="30" t="s">
        <v>631</v>
      </c>
      <c r="M292" s="31">
        <v>0.40486111111111112</v>
      </c>
      <c r="N292" s="31">
        <v>0.83888888888888891</v>
      </c>
      <c r="O292" s="31">
        <v>0.30208333333333331</v>
      </c>
      <c r="P292" s="40">
        <v>110.9</v>
      </c>
      <c r="Q292" s="31">
        <v>0.32777777777777778</v>
      </c>
      <c r="W292" s="30" t="s">
        <v>109</v>
      </c>
      <c r="X292"/>
    </row>
    <row r="293" spans="2:24">
      <c r="B293" s="47" t="s">
        <v>562</v>
      </c>
      <c r="C293" s="47"/>
      <c r="D293" s="36">
        <v>0.2722222222222222</v>
      </c>
      <c r="E293" s="36">
        <v>0.2722222222222222</v>
      </c>
      <c r="F293" s="36">
        <v>0.33194444444444443</v>
      </c>
      <c r="G293" s="36">
        <v>0.33194444444444443</v>
      </c>
      <c r="H293" s="30" t="s">
        <v>159</v>
      </c>
      <c r="I293" s="38">
        <v>0.28263888888888888</v>
      </c>
      <c r="J293" s="30" t="s">
        <v>53</v>
      </c>
      <c r="K293" s="38">
        <v>0.32500000000000001</v>
      </c>
      <c r="L293" s="28" t="s">
        <v>166</v>
      </c>
      <c r="M293" s="31">
        <v>0.28263888888888888</v>
      </c>
      <c r="N293" s="38">
        <v>0.31805555555555554</v>
      </c>
      <c r="O293" s="31">
        <v>3.6111111111111108E-2</v>
      </c>
      <c r="P293" s="39">
        <v>14</v>
      </c>
      <c r="Q293" s="36">
        <v>3.6111111111111108E-2</v>
      </c>
      <c r="W293" s="30" t="s">
        <v>109</v>
      </c>
      <c r="X293"/>
    </row>
    <row r="294" spans="2:24">
      <c r="B294" s="47" t="s">
        <v>563</v>
      </c>
      <c r="C294" s="47"/>
      <c r="D294" s="36">
        <v>0.24930555555555556</v>
      </c>
      <c r="E294" s="36">
        <v>0.24930555555555556</v>
      </c>
      <c r="F294" s="36">
        <v>0.33194444444444443</v>
      </c>
      <c r="G294" s="36">
        <v>0.33194444444444443</v>
      </c>
      <c r="H294" s="30" t="s">
        <v>38</v>
      </c>
      <c r="I294" s="38">
        <v>0.25972222222222224</v>
      </c>
      <c r="J294" s="30" t="s">
        <v>53</v>
      </c>
      <c r="K294" s="38">
        <v>0.32500000000000001</v>
      </c>
      <c r="L294" s="28" t="s">
        <v>166</v>
      </c>
      <c r="M294" s="31">
        <v>0.25972222222222224</v>
      </c>
      <c r="N294" s="38">
        <v>0.31805555555555554</v>
      </c>
      <c r="O294" s="31">
        <v>5.9027777777777776E-2</v>
      </c>
      <c r="P294" s="39">
        <v>27.8</v>
      </c>
      <c r="Q294" s="36">
        <v>5.9027777777777776E-2</v>
      </c>
      <c r="W294" s="30" t="s">
        <v>109</v>
      </c>
      <c r="X294"/>
    </row>
    <row r="295" spans="2:24">
      <c r="B295" s="47" t="s">
        <v>564</v>
      </c>
      <c r="C295" s="47"/>
      <c r="D295" s="36">
        <v>0.31944444444444442</v>
      </c>
      <c r="E295" s="36">
        <v>0.31944444444444442</v>
      </c>
      <c r="F295" s="36">
        <v>0.42152777777777778</v>
      </c>
      <c r="G295" s="36">
        <v>0.42152777777777778</v>
      </c>
      <c r="H295" s="30" t="s">
        <v>53</v>
      </c>
      <c r="I295" s="38">
        <v>0.3263888888888889</v>
      </c>
      <c r="J295" s="30" t="s">
        <v>38</v>
      </c>
      <c r="K295" s="38">
        <v>0.41458333333333336</v>
      </c>
      <c r="L295" s="28" t="s">
        <v>166</v>
      </c>
      <c r="M295" s="31">
        <v>0.33541666666666664</v>
      </c>
      <c r="N295" s="38">
        <v>0.41458333333333336</v>
      </c>
      <c r="O295" s="31">
        <v>6.7361111111111108E-2</v>
      </c>
      <c r="P295" s="39">
        <v>24.1</v>
      </c>
      <c r="Q295" s="36">
        <v>6.7361111111111108E-2</v>
      </c>
      <c r="W295" s="30" t="s">
        <v>109</v>
      </c>
      <c r="X295"/>
    </row>
    <row r="296" spans="2:24">
      <c r="B296" s="47" t="s">
        <v>360</v>
      </c>
      <c r="C296" s="87"/>
      <c r="D296" s="36">
        <v>0.24930555555555556</v>
      </c>
      <c r="E296" s="36">
        <v>0.24930555555555556</v>
      </c>
      <c r="F296" s="36">
        <v>0.42152777777777778</v>
      </c>
      <c r="G296" s="36">
        <v>0.42152777777777778</v>
      </c>
      <c r="H296" s="30" t="s">
        <v>38</v>
      </c>
      <c r="I296" s="38">
        <v>0.25972222222222224</v>
      </c>
      <c r="J296" s="30" t="s">
        <v>38</v>
      </c>
      <c r="K296" s="38">
        <v>0.41458333333333336</v>
      </c>
      <c r="L296" s="28" t="s">
        <v>166</v>
      </c>
      <c r="M296" s="31">
        <v>0.25972222222222224</v>
      </c>
      <c r="N296" s="38">
        <v>0.41458333333333336</v>
      </c>
      <c r="O296" s="31">
        <v>0.12638888888888888</v>
      </c>
      <c r="P296" s="39">
        <v>51.9</v>
      </c>
      <c r="Q296" s="36">
        <v>0.14374999999999999</v>
      </c>
      <c r="W296" s="30" t="s">
        <v>109</v>
      </c>
      <c r="X296"/>
    </row>
    <row r="297" spans="2:24">
      <c r="B297" s="47" t="s">
        <v>361</v>
      </c>
      <c r="C297" s="46"/>
      <c r="D297" s="36">
        <v>0.2722222222222222</v>
      </c>
      <c r="E297" s="36">
        <v>0.2722222222222222</v>
      </c>
      <c r="F297" s="36">
        <v>0.42152777777777778</v>
      </c>
      <c r="G297" s="36">
        <v>0.42152777777777778</v>
      </c>
      <c r="H297" s="30" t="s">
        <v>159</v>
      </c>
      <c r="I297" s="38">
        <v>0.28263888888888888</v>
      </c>
      <c r="J297" s="30" t="s">
        <v>38</v>
      </c>
      <c r="K297" s="38">
        <v>0.41458333333333336</v>
      </c>
      <c r="L297" s="28" t="s">
        <v>166</v>
      </c>
      <c r="M297" s="31">
        <v>0.28263888888888888</v>
      </c>
      <c r="N297" s="38">
        <v>0.41458333333333336</v>
      </c>
      <c r="O297" s="31">
        <v>0.10347222222222222</v>
      </c>
      <c r="P297" s="39">
        <v>38.1</v>
      </c>
      <c r="Q297" s="36">
        <v>0.12083333333333333</v>
      </c>
      <c r="R297" s="40">
        <v>110.9</v>
      </c>
      <c r="W297" s="30" t="s">
        <v>109</v>
      </c>
      <c r="X297"/>
    </row>
    <row r="298" spans="2:24">
      <c r="K298" s="37"/>
      <c r="W298" s="30"/>
      <c r="X298"/>
    </row>
    <row r="299" spans="2:24">
      <c r="B299" s="47" t="s">
        <v>463</v>
      </c>
      <c r="C299" s="47"/>
      <c r="D299" s="36">
        <v>0.25763888888888886</v>
      </c>
      <c r="E299" s="36">
        <v>0.25763888888888886</v>
      </c>
      <c r="F299" s="36">
        <v>0.38472222222222224</v>
      </c>
      <c r="G299" s="36">
        <v>0.38472222222222224</v>
      </c>
      <c r="H299" s="30" t="s">
        <v>38</v>
      </c>
      <c r="I299" s="38">
        <v>0.26805555555555555</v>
      </c>
      <c r="J299" s="30" t="s">
        <v>38</v>
      </c>
      <c r="K299" s="38">
        <v>0.37777777777777777</v>
      </c>
      <c r="L299" s="28" t="s">
        <v>169</v>
      </c>
      <c r="M299" s="31">
        <v>0.27708333333333335</v>
      </c>
      <c r="N299" s="38">
        <v>0.37083333333333335</v>
      </c>
      <c r="O299" s="31">
        <v>9.6527777777777782E-2</v>
      </c>
      <c r="P299" s="39">
        <v>34.700000000000003</v>
      </c>
      <c r="Q299" s="36">
        <v>9.6527777777777782E-2</v>
      </c>
      <c r="W299" s="30" t="s">
        <v>109</v>
      </c>
      <c r="X299"/>
    </row>
    <row r="300" spans="2:24">
      <c r="B300" s="47" t="s">
        <v>485</v>
      </c>
      <c r="C300" s="47"/>
      <c r="D300" s="36">
        <v>0.42152777777777778</v>
      </c>
      <c r="E300" s="36">
        <v>0.42152777777777778</v>
      </c>
      <c r="F300" s="36">
        <v>0.49513888888888891</v>
      </c>
      <c r="G300" s="36">
        <v>0.49513888888888891</v>
      </c>
      <c r="H300" s="30" t="s">
        <v>38</v>
      </c>
      <c r="I300" s="38">
        <v>0.4284722222222222</v>
      </c>
      <c r="J300" s="30" t="s">
        <v>38</v>
      </c>
      <c r="K300" s="38">
        <v>0.48819444444444443</v>
      </c>
      <c r="L300" s="28" t="s">
        <v>64</v>
      </c>
      <c r="M300" s="31">
        <v>0.43263888888888891</v>
      </c>
      <c r="N300" s="38">
        <v>0.4861111111111111</v>
      </c>
      <c r="O300" s="31">
        <v>5.9722222222222225E-2</v>
      </c>
      <c r="P300" s="39">
        <v>18.600000000000001</v>
      </c>
      <c r="Q300" s="36">
        <v>5.9722222222222225E-2</v>
      </c>
      <c r="W300" s="30" t="s">
        <v>109</v>
      </c>
      <c r="X300"/>
    </row>
    <row r="301" spans="2:24">
      <c r="B301" s="47" t="s">
        <v>362</v>
      </c>
      <c r="C301" s="47"/>
      <c r="D301" s="36">
        <v>0.53472222222222221</v>
      </c>
      <c r="E301" s="36">
        <v>0.53472222222222221</v>
      </c>
      <c r="F301" s="36">
        <v>0.62013888888888891</v>
      </c>
      <c r="G301" s="36">
        <v>0.62013888888888891</v>
      </c>
      <c r="H301" s="30" t="s">
        <v>38</v>
      </c>
      <c r="I301" s="38">
        <v>0.54166666666666663</v>
      </c>
      <c r="J301" s="30" t="s">
        <v>38</v>
      </c>
      <c r="K301" s="38">
        <v>0.61319444444444449</v>
      </c>
      <c r="L301" s="28">
        <v>1103</v>
      </c>
      <c r="M301" s="31">
        <v>0.55069444444444449</v>
      </c>
      <c r="N301" s="38">
        <v>0.60624999999999996</v>
      </c>
      <c r="O301" s="31">
        <v>6.6666666666666666E-2</v>
      </c>
      <c r="P301" s="39">
        <v>23.8</v>
      </c>
      <c r="Q301" s="36">
        <v>7.1527777777777773E-2</v>
      </c>
      <c r="R301" s="39"/>
      <c r="W301" s="30" t="s">
        <v>109</v>
      </c>
      <c r="X301"/>
    </row>
    <row r="302" spans="2:24">
      <c r="B302" s="47" t="s">
        <v>565</v>
      </c>
      <c r="C302" s="47"/>
      <c r="D302" s="36">
        <v>0.67152777777777772</v>
      </c>
      <c r="E302" s="36">
        <v>0.67152777777777772</v>
      </c>
      <c r="F302" s="36">
        <v>0.7944444444444444</v>
      </c>
      <c r="G302" s="36">
        <v>0.7944444444444444</v>
      </c>
      <c r="H302" s="30" t="s">
        <v>38</v>
      </c>
      <c r="I302" s="38">
        <v>0.67847222222222225</v>
      </c>
      <c r="J302" s="30" t="s">
        <v>53</v>
      </c>
      <c r="K302" s="38">
        <v>0.78749999999999998</v>
      </c>
      <c r="L302" s="28">
        <v>1103</v>
      </c>
      <c r="M302" s="31">
        <v>0.6875</v>
      </c>
      <c r="N302" s="38">
        <v>0.78055555555555556</v>
      </c>
      <c r="O302" s="31">
        <v>9.5138888888888884E-2</v>
      </c>
      <c r="P302" s="39">
        <v>35.299999999999997</v>
      </c>
      <c r="Q302" s="36">
        <v>0.10416666666666667</v>
      </c>
      <c r="W302" s="30" t="s">
        <v>109</v>
      </c>
      <c r="X302"/>
    </row>
    <row r="303" spans="2:24">
      <c r="B303" s="47" t="s">
        <v>566</v>
      </c>
      <c r="C303" s="47"/>
      <c r="D303" s="36">
        <v>0.78819444444444442</v>
      </c>
      <c r="E303" s="36">
        <v>0.78819444444444442</v>
      </c>
      <c r="F303" s="36">
        <v>0.84791666666666665</v>
      </c>
      <c r="G303" s="36">
        <v>0.84791666666666665</v>
      </c>
      <c r="H303" s="30" t="s">
        <v>53</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109</v>
      </c>
      <c r="X303"/>
    </row>
    <row r="304" spans="2:24">
      <c r="B304" s="47" t="s">
        <v>567</v>
      </c>
      <c r="C304" s="47"/>
      <c r="D304" s="36">
        <v>0.78819444444444442</v>
      </c>
      <c r="E304" s="36">
        <v>0.78819444444444442</v>
      </c>
      <c r="F304" s="36">
        <v>0.87222222222222223</v>
      </c>
      <c r="G304" s="36">
        <v>0.87222222222222223</v>
      </c>
      <c r="H304" s="30" t="s">
        <v>53</v>
      </c>
      <c r="I304" s="38">
        <v>0.79513888888888884</v>
      </c>
      <c r="J304" s="30" t="s">
        <v>38</v>
      </c>
      <c r="K304" s="38">
        <v>0.86527777777777781</v>
      </c>
      <c r="L304" s="28">
        <v>1103</v>
      </c>
      <c r="M304" s="31">
        <v>0.8041666666666667</v>
      </c>
      <c r="N304" s="38">
        <v>0.86527777777777781</v>
      </c>
      <c r="O304" s="31">
        <v>6.5277777777777782E-2</v>
      </c>
      <c r="P304" s="39">
        <v>28.4</v>
      </c>
      <c r="Q304" s="36">
        <v>6.5277777777777782E-2</v>
      </c>
      <c r="W304" s="30" t="s">
        <v>109</v>
      </c>
      <c r="X304"/>
    </row>
    <row r="305" spans="2:24">
      <c r="B305" s="47" t="s">
        <v>363</v>
      </c>
      <c r="C305" s="87"/>
      <c r="D305" s="31" t="str">
        <f ca="1">IF($A$4="平日","6:11","10:07")</f>
        <v>6:11</v>
      </c>
      <c r="E305" s="31" t="str">
        <f ca="1">IF($A$4="平日","6:11","10:07")</f>
        <v>6:11</v>
      </c>
      <c r="F305" s="31">
        <v>0.87222222222222223</v>
      </c>
      <c r="G305" s="31">
        <v>0.87222222222222223</v>
      </c>
      <c r="H305" s="30" t="s">
        <v>38</v>
      </c>
      <c r="I305" s="31" t="str">
        <f ca="1">IF($A$4="平日","6:26","10:17")</f>
        <v>6:26</v>
      </c>
      <c r="J305" s="30" t="s">
        <v>38</v>
      </c>
      <c r="K305" s="38">
        <v>0.86527777777777781</v>
      </c>
      <c r="L305" s="30" t="str">
        <f ca="1">IF($A$4="平日","1008     1588     1103","1588     1103")</f>
        <v>1008     1588     1103</v>
      </c>
      <c r="M305" s="31" t="str">
        <f ca="1">IF($A$4="平日","6:39","10:23")</f>
        <v>6:39</v>
      </c>
      <c r="N305" s="31">
        <v>0.86527777777777781</v>
      </c>
      <c r="O305" s="31" t="str">
        <f ca="1">IF($A$4="平日","9:12","6:53")</f>
        <v>9:12</v>
      </c>
      <c r="P305" s="40">
        <f ca="1">IF($A$4="平日",140.8,106.1)</f>
        <v>140.80000000000001</v>
      </c>
      <c r="Q305" s="31" t="str">
        <f ca="1">IF($A$4="平日","9:57","7:33")</f>
        <v>9:57</v>
      </c>
      <c r="W305" s="30" t="s">
        <v>109</v>
      </c>
      <c r="X305"/>
    </row>
    <row r="306" spans="2:24">
      <c r="B306" s="47" t="s">
        <v>364</v>
      </c>
      <c r="C306" s="46"/>
      <c r="D306" s="31" t="str">
        <f ca="1">IF($A$4="平日","6:11","10:07")</f>
        <v>6:11</v>
      </c>
      <c r="E306" s="31" t="str">
        <f ca="1">IF($A$4="平日","6:11","10:07")</f>
        <v>6:11</v>
      </c>
      <c r="F306" s="31">
        <v>0.84791666666666665</v>
      </c>
      <c r="G306" s="31">
        <v>0.84791666666666665</v>
      </c>
      <c r="H306" s="30" t="s">
        <v>38</v>
      </c>
      <c r="I306" s="31" t="str">
        <f ca="1">IF($A$4="平日","6:26","10:17")</f>
        <v>6:26</v>
      </c>
      <c r="J306" s="30" t="s">
        <v>408</v>
      </c>
      <c r="K306" s="38">
        <v>0.84097222222222223</v>
      </c>
      <c r="L306" s="30" t="str">
        <f ca="1">IF($A$4="平日","1008     1588     1103","1588     1103")</f>
        <v>1008     1588     1103</v>
      </c>
      <c r="M306" s="31" t="str">
        <f ca="1">IF($A$4="平日","6:39","10:23")</f>
        <v>6:39</v>
      </c>
      <c r="N306" s="31">
        <v>0.84097222222222223</v>
      </c>
      <c r="O306" s="31" t="str">
        <f ca="1">IF($A$4="平日","8:37","6:18")</f>
        <v>8:37</v>
      </c>
      <c r="P306" s="40">
        <f ca="1">IF($A$4="平日",128.8,94.1)</f>
        <v>128.80000000000001</v>
      </c>
      <c r="Q306" s="31" t="str">
        <f ca="1">IF($A$4="平日","9:22","6:58")</f>
        <v>9:22</v>
      </c>
      <c r="W306" s="30" t="s">
        <v>109</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北    浜</v>
      </c>
      <c r="K307" s="31">
        <v>0.31597222222222221</v>
      </c>
      <c r="L307" s="28">
        <v>1103</v>
      </c>
      <c r="M307" s="31">
        <v>0.2722222222222222</v>
      </c>
      <c r="N307" s="38">
        <v>0.30902777777777779</v>
      </c>
      <c r="O307" s="31" t="str">
        <f ca="1">IF($A$4="平日","0:56","1:03")</f>
        <v>0:56</v>
      </c>
      <c r="P307" s="40">
        <f ca="1">IF($A$4="平日",16.4,18.9)</f>
        <v>16.399999999999999</v>
      </c>
      <c r="Q307" s="31" t="str">
        <f ca="1">IF($A$4="平日","0:56","1:03")</f>
        <v>0:56</v>
      </c>
      <c r="W307" s="30" t="s">
        <v>109</v>
      </c>
      <c r="X307"/>
    </row>
    <row r="308" spans="2:24">
      <c r="B308" s="47" t="s">
        <v>366</v>
      </c>
      <c r="C308" s="47"/>
      <c r="D308" s="36">
        <v>0.23541666666666666</v>
      </c>
      <c r="E308" s="36">
        <v>0.23541666666666666</v>
      </c>
      <c r="F308" s="36">
        <v>0.32291666666666669</v>
      </c>
      <c r="G308" s="36">
        <v>0.32291666666666669</v>
      </c>
      <c r="H308" s="30" t="s">
        <v>38</v>
      </c>
      <c r="I308" s="38">
        <v>0.24583333333333332</v>
      </c>
      <c r="J308" s="30" t="s">
        <v>53</v>
      </c>
      <c r="K308" s="38">
        <v>0.31597222222222221</v>
      </c>
      <c r="L308" s="28">
        <v>1103</v>
      </c>
      <c r="M308" s="31">
        <v>0.24583333333333332</v>
      </c>
      <c r="N308" s="38">
        <v>0.30902777777777779</v>
      </c>
      <c r="O308" s="31">
        <v>6.5277777777777782E-2</v>
      </c>
      <c r="P308" s="39">
        <v>28.4</v>
      </c>
      <c r="Q308" s="36">
        <v>6.5277777777777782E-2</v>
      </c>
      <c r="W308" s="30" t="s">
        <v>109</v>
      </c>
      <c r="X308"/>
    </row>
    <row r="309" spans="2:24">
      <c r="B309" s="47" t="s">
        <v>568</v>
      </c>
      <c r="D309" s="36">
        <v>0.31180555555555556</v>
      </c>
      <c r="E309" s="36">
        <v>0.31180555555555556</v>
      </c>
      <c r="F309" s="36">
        <v>0.34513888888888888</v>
      </c>
      <c r="G309" s="36">
        <v>0.34513888888888888</v>
      </c>
      <c r="H309" s="30" t="s">
        <v>53</v>
      </c>
      <c r="I309" s="37">
        <v>0.31874999999999998</v>
      </c>
      <c r="J309" s="30" t="s">
        <v>38</v>
      </c>
      <c r="K309" s="38">
        <v>0.33819444444444446</v>
      </c>
      <c r="L309" s="28">
        <v>1103</v>
      </c>
      <c r="M309" s="36">
        <v>0.32777777777777778</v>
      </c>
      <c r="N309" s="37">
        <v>0.33819444444444446</v>
      </c>
      <c r="O309" s="37">
        <v>1.4583333333333334E-2</v>
      </c>
      <c r="P309" s="39">
        <v>5.2</v>
      </c>
      <c r="Q309" s="36">
        <v>1.4583333333333334E-2</v>
      </c>
      <c r="W309" s="30" t="s">
        <v>109</v>
      </c>
      <c r="X309"/>
    </row>
    <row r="310" spans="2:24">
      <c r="B310" s="47" t="s">
        <v>367</v>
      </c>
      <c r="C310" s="87"/>
      <c r="D310" s="36">
        <v>0.23541666666666666</v>
      </c>
      <c r="E310" s="36">
        <v>0.23541666666666666</v>
      </c>
      <c r="F310" s="31" t="str">
        <f ca="1">IF($A$4="平日","8:17","7:45")</f>
        <v>8:17</v>
      </c>
      <c r="G310" s="31" t="str">
        <f ca="1">IF($A$4="平日","8:17","7:45")</f>
        <v>8:17</v>
      </c>
      <c r="H310" s="30" t="s">
        <v>38</v>
      </c>
      <c r="I310" s="38">
        <v>0.24583333333333332</v>
      </c>
      <c r="J310" s="30" t="s">
        <v>38</v>
      </c>
      <c r="K310" s="31" t="str">
        <f ca="1">IF($A$4="平日","8:07","7:35")</f>
        <v>8:07</v>
      </c>
      <c r="L310" s="29" t="s">
        <v>595</v>
      </c>
      <c r="M310" s="31">
        <v>0.24583333333333332</v>
      </c>
      <c r="N310" s="31" t="str">
        <f ca="1">IF($A$4="平日","8:07","7:25")</f>
        <v>8:07</v>
      </c>
      <c r="O310" s="31" t="str">
        <f ca="1">IF($A$4="平日","1:55","1:41")</f>
        <v>1:55</v>
      </c>
      <c r="P310" s="40">
        <f ca="1">IF($A$4="平日",33.6,30.9)</f>
        <v>33.6</v>
      </c>
      <c r="Q310" s="31" t="str">
        <f ca="1">IF($A$4="平日","2:20","2:06")</f>
        <v>2:20</v>
      </c>
      <c r="W310" s="30" t="s">
        <v>109</v>
      </c>
      <c r="X310"/>
    </row>
    <row r="311" spans="2:24">
      <c r="B311" s="47" t="s">
        <v>368</v>
      </c>
      <c r="C311" s="46"/>
      <c r="D311" s="36">
        <v>0.26180555555555557</v>
      </c>
      <c r="E311" s="36">
        <v>0.26180555555555557</v>
      </c>
      <c r="F311" s="31" t="str">
        <f ca="1">IF($A$4="平日","8:17","7:45")</f>
        <v>8:17</v>
      </c>
      <c r="G311" s="31" t="str">
        <f ca="1">IF($A$4="平日","8:17","7:45")</f>
        <v>8:17</v>
      </c>
      <c r="H311" s="30" t="s">
        <v>408</v>
      </c>
      <c r="I311" s="38">
        <v>0.2722222222222222</v>
      </c>
      <c r="J311" s="30" t="s">
        <v>38</v>
      </c>
      <c r="K311" s="31" t="str">
        <f ca="1">IF($A$4="平日","8:07","7:35")</f>
        <v>8:07</v>
      </c>
      <c r="L311" s="29" t="s">
        <v>595</v>
      </c>
      <c r="M311" s="31">
        <v>0.2722222222222222</v>
      </c>
      <c r="N311" s="31" t="str">
        <f ca="1">IF($A$4="平日","8:07","7:25")</f>
        <v>8:07</v>
      </c>
      <c r="O311" s="31" t="str">
        <f ca="1">IF($A$4="平日","1:17","1:03")</f>
        <v>1:17</v>
      </c>
      <c r="P311" s="40">
        <f ca="1">IF($A$4="平日",21.6,18.9)</f>
        <v>21.6</v>
      </c>
      <c r="Q311" s="31" t="str">
        <f ca="1">IF($A$4="平日","1:42","1:28")</f>
        <v>1:42</v>
      </c>
      <c r="W311" s="30" t="s">
        <v>109</v>
      </c>
      <c r="X311"/>
    </row>
    <row r="312" spans="2:24">
      <c r="B312" s="47" t="s">
        <v>632</v>
      </c>
      <c r="C312" s="47"/>
      <c r="D312" s="36">
        <v>0.2638888888888889</v>
      </c>
      <c r="E312" s="36">
        <v>0.2638888888888889</v>
      </c>
      <c r="F312" s="31">
        <v>0.37569444444444444</v>
      </c>
      <c r="G312" s="31">
        <v>0.37569444444444444</v>
      </c>
      <c r="H312" s="30" t="s">
        <v>38</v>
      </c>
      <c r="I312" s="38">
        <v>0.27430555555555558</v>
      </c>
      <c r="J312" s="30" t="s">
        <v>38</v>
      </c>
      <c r="K312" s="38">
        <v>0.36875000000000002</v>
      </c>
      <c r="L312" s="28" t="s">
        <v>633</v>
      </c>
      <c r="M312" s="31">
        <v>0.28333333333333333</v>
      </c>
      <c r="N312" s="31">
        <v>0.36180555555555555</v>
      </c>
      <c r="O312" s="31">
        <v>8.9583333333333334E-2</v>
      </c>
      <c r="P312" s="39">
        <v>33</v>
      </c>
      <c r="Q312" s="31">
        <v>9.4444444444444442E-2</v>
      </c>
      <c r="W312" s="30" t="s">
        <v>109</v>
      </c>
      <c r="X312"/>
    </row>
    <row r="313" spans="2:24">
      <c r="B313" s="47" t="s">
        <v>569</v>
      </c>
      <c r="C313" s="47"/>
      <c r="D313" s="31" t="str">
        <f ca="1">IF($A$4="平日","10:51","10:46")</f>
        <v>10:51</v>
      </c>
      <c r="E313" s="31" t="str">
        <f ca="1">IF($A$4="平日","10:51","10:46")</f>
        <v>10:51</v>
      </c>
      <c r="F313" s="36">
        <v>0.53541666666666665</v>
      </c>
      <c r="G313" s="36">
        <v>0.53541666666666665</v>
      </c>
      <c r="H313" s="30" t="s">
        <v>38</v>
      </c>
      <c r="I313" s="31">
        <v>0.45902777777777776</v>
      </c>
      <c r="J313" s="30" t="s">
        <v>38</v>
      </c>
      <c r="K313" s="38">
        <v>0.52847222222222223</v>
      </c>
      <c r="L313" s="28">
        <v>1107</v>
      </c>
      <c r="M313" s="31">
        <v>0.46805555555555556</v>
      </c>
      <c r="N313" s="38">
        <v>0.52152777777777781</v>
      </c>
      <c r="O313" s="31">
        <v>6.3194444444444442E-2</v>
      </c>
      <c r="P313" s="39">
        <v>25</v>
      </c>
      <c r="Q313" s="31">
        <v>6.9444444444444448E-2</v>
      </c>
      <c r="W313" s="30" t="s">
        <v>109</v>
      </c>
      <c r="X313"/>
    </row>
    <row r="314" spans="2:24">
      <c r="B314" s="47" t="s">
        <v>570</v>
      </c>
      <c r="C314" s="47"/>
      <c r="D314" s="36">
        <v>0.56736111111111109</v>
      </c>
      <c r="E314" s="36">
        <v>0.56736111111111109</v>
      </c>
      <c r="F314" s="36">
        <v>0.6791666666666667</v>
      </c>
      <c r="G314" s="36">
        <v>0.6791666666666667</v>
      </c>
      <c r="H314" s="30" t="s">
        <v>38</v>
      </c>
      <c r="I314" s="38">
        <v>0.57430555555555551</v>
      </c>
      <c r="J314" s="30" t="s">
        <v>38</v>
      </c>
      <c r="K314" s="38">
        <v>0.67222222222222228</v>
      </c>
      <c r="L314" s="28">
        <v>1107</v>
      </c>
      <c r="M314" s="31">
        <v>0.58333333333333337</v>
      </c>
      <c r="N314" s="38">
        <v>0.66527777777777775</v>
      </c>
      <c r="O314" s="31">
        <v>9.2361111111111116E-2</v>
      </c>
      <c r="P314" s="39">
        <v>42.8</v>
      </c>
      <c r="Q314" s="36">
        <v>9.7916666666666666E-2</v>
      </c>
      <c r="W314" s="30" t="s">
        <v>109</v>
      </c>
      <c r="X314"/>
    </row>
    <row r="315" spans="2:24">
      <c r="B315" s="47" t="s">
        <v>571</v>
      </c>
      <c r="C315" s="47"/>
      <c r="D315" s="36">
        <v>0.69513888888888886</v>
      </c>
      <c r="E315" s="36">
        <v>0.69513888888888886</v>
      </c>
      <c r="F315" s="36">
        <v>0.84652777777777777</v>
      </c>
      <c r="G315" s="36">
        <v>0.84652777777777777</v>
      </c>
      <c r="H315" s="30" t="s">
        <v>38</v>
      </c>
      <c r="I315" s="38">
        <v>0.70208333333333328</v>
      </c>
      <c r="J315" s="30" t="s">
        <v>38</v>
      </c>
      <c r="K315" s="38">
        <v>0.83958333333333335</v>
      </c>
      <c r="L315" s="28">
        <v>1107</v>
      </c>
      <c r="M315" s="31">
        <v>0.70972222222222225</v>
      </c>
      <c r="N315" s="38">
        <v>0.83402777777777781</v>
      </c>
      <c r="O315" s="31">
        <v>0.12847222222222221</v>
      </c>
      <c r="P315" s="39">
        <v>59.2</v>
      </c>
      <c r="Q315" s="36">
        <v>0.13750000000000001</v>
      </c>
      <c r="W315" s="30" t="s">
        <v>109</v>
      </c>
      <c r="X315"/>
    </row>
    <row r="316" spans="2:24">
      <c r="B316" s="47" t="s">
        <v>369</v>
      </c>
      <c r="C316" s="46"/>
      <c r="D316" s="31" t="str">
        <f ca="1">IF($A$4="平日","6:20","10:46")</f>
        <v>6:20</v>
      </c>
      <c r="E316" s="31" t="str">
        <f ca="1">IF($A$4="平日","6:20","10:46")</f>
        <v>6:20</v>
      </c>
      <c r="F316" s="31">
        <v>0.84652777777777777</v>
      </c>
      <c r="G316" s="31">
        <v>0.84652777777777777</v>
      </c>
      <c r="H316" s="30" t="s">
        <v>38</v>
      </c>
      <c r="I316" s="31" t="str">
        <f ca="1">IF($A$4="平日","6:35","11:01")</f>
        <v>6:35</v>
      </c>
      <c r="J316" s="30" t="s">
        <v>38</v>
      </c>
      <c r="K316" s="38">
        <v>0.83958333333333335</v>
      </c>
      <c r="L316" s="30">
        <v>1107</v>
      </c>
      <c r="M316" s="31" t="str">
        <f ca="1">IF($A$4="平日","6:48","11:14")</f>
        <v>6:48</v>
      </c>
      <c r="N316" s="31">
        <v>0.83402777777777781</v>
      </c>
      <c r="O316" s="31" t="str">
        <f ca="1">IF($A$4="平日","8:58","6:49")</f>
        <v>8:58</v>
      </c>
      <c r="P316" s="40">
        <f ca="1">IF($A$4="平日",160,127)</f>
        <v>160</v>
      </c>
      <c r="Q316" s="31" t="str">
        <f ca="1">IF($A$4="平日","10:00","7:44")</f>
        <v>10:00</v>
      </c>
      <c r="W316" s="30" t="s">
        <v>109</v>
      </c>
      <c r="X316"/>
    </row>
    <row r="317" spans="2:24">
      <c r="B317" s="47" t="s">
        <v>572</v>
      </c>
      <c r="C317" s="26"/>
      <c r="D317" s="36">
        <v>0.25972222222222224</v>
      </c>
      <c r="E317" s="36">
        <v>0.25972222222222224</v>
      </c>
      <c r="F317" s="36">
        <v>0.3972222222222222</v>
      </c>
      <c r="G317" s="36">
        <v>0.3972222222222222</v>
      </c>
      <c r="H317" s="30" t="s">
        <v>38</v>
      </c>
      <c r="I317" s="38">
        <v>0.27013888888888887</v>
      </c>
      <c r="J317" s="30" t="s">
        <v>38</v>
      </c>
      <c r="K317" s="38">
        <v>0.39027777777777778</v>
      </c>
      <c r="L317" s="29" t="s">
        <v>131</v>
      </c>
      <c r="M317" s="31">
        <v>0.27916666666666667</v>
      </c>
      <c r="N317" s="36">
        <v>0.39027777777777778</v>
      </c>
      <c r="O317" s="29" t="s">
        <v>573</v>
      </c>
      <c r="P317" s="77">
        <v>40.799999999999997</v>
      </c>
      <c r="Q317" s="29" t="s">
        <v>574</v>
      </c>
      <c r="W317" s="30" t="s">
        <v>109</v>
      </c>
      <c r="X317"/>
    </row>
    <row r="318" spans="2:24">
      <c r="B318" s="47" t="s">
        <v>575</v>
      </c>
      <c r="C318" s="47"/>
      <c r="D318" s="36">
        <v>0.47361111111111109</v>
      </c>
      <c r="E318" s="36">
        <v>0.47361111111111109</v>
      </c>
      <c r="F318" s="36">
        <v>0.59652777777777777</v>
      </c>
      <c r="G318" s="36">
        <v>0.59652777777777777</v>
      </c>
      <c r="H318" s="30" t="s">
        <v>38</v>
      </c>
      <c r="I318" s="38">
        <v>0.48055555555555557</v>
      </c>
      <c r="J318" s="30" t="s">
        <v>38</v>
      </c>
      <c r="K318" s="38">
        <v>0.58958333333333335</v>
      </c>
      <c r="L318" s="28" t="s">
        <v>131</v>
      </c>
      <c r="M318" s="31">
        <v>0.48958333333333331</v>
      </c>
      <c r="N318" s="38">
        <v>0.58263888888888893</v>
      </c>
      <c r="O318" s="31">
        <v>0.10277777777777777</v>
      </c>
      <c r="P318" s="39">
        <v>41.8</v>
      </c>
      <c r="Q318" s="36">
        <v>0.10902777777777778</v>
      </c>
      <c r="W318" s="30" t="s">
        <v>109</v>
      </c>
      <c r="X318"/>
    </row>
    <row r="319" spans="2:24">
      <c r="B319" s="47" t="s">
        <v>576</v>
      </c>
      <c r="C319" s="47"/>
      <c r="D319" s="36">
        <v>0.63888888888888884</v>
      </c>
      <c r="E319" s="36">
        <v>0.63888888888888884</v>
      </c>
      <c r="F319" s="36">
        <v>0.73333333333333328</v>
      </c>
      <c r="G319" s="36">
        <v>0.73333333333333328</v>
      </c>
      <c r="H319" s="30" t="s">
        <v>38</v>
      </c>
      <c r="I319" s="38">
        <v>0.64583333333333337</v>
      </c>
      <c r="J319" s="30" t="s">
        <v>38</v>
      </c>
      <c r="K319" s="38">
        <v>0.72638888888888886</v>
      </c>
      <c r="L319" s="28" t="s">
        <v>131</v>
      </c>
      <c r="M319" s="31">
        <v>0.65486111111111112</v>
      </c>
      <c r="N319" s="38">
        <v>0.71944444444444444</v>
      </c>
      <c r="O319" s="31">
        <v>6.3194444444444442E-2</v>
      </c>
      <c r="P319" s="39">
        <v>25</v>
      </c>
      <c r="Q319" s="36">
        <v>6.3194444444444442E-2</v>
      </c>
      <c r="W319" s="30" t="s">
        <v>109</v>
      </c>
      <c r="X319"/>
    </row>
    <row r="320" spans="2:24">
      <c r="B320" s="47" t="s">
        <v>370</v>
      </c>
      <c r="C320" s="47"/>
      <c r="D320" s="36">
        <v>0.75486111111111109</v>
      </c>
      <c r="E320" s="36">
        <v>0.75486111111111109</v>
      </c>
      <c r="F320" s="36">
        <v>0.87916666666666665</v>
      </c>
      <c r="G320" s="36">
        <v>0.87916666666666665</v>
      </c>
      <c r="H320" s="30" t="s">
        <v>38</v>
      </c>
      <c r="I320" s="38">
        <v>0.76180555555555551</v>
      </c>
      <c r="J320" s="30" t="s">
        <v>38</v>
      </c>
      <c r="K320" s="38">
        <v>0.87222222222222223</v>
      </c>
      <c r="L320" s="28" t="s">
        <v>131</v>
      </c>
      <c r="M320" s="31">
        <v>0.77083333333333337</v>
      </c>
      <c r="N320" s="38">
        <v>0.86527777777777781</v>
      </c>
      <c r="O320" s="31">
        <v>0.10138888888888889</v>
      </c>
      <c r="P320" s="39">
        <v>37.1</v>
      </c>
      <c r="Q320" s="36">
        <v>0.11041666666666666</v>
      </c>
      <c r="W320" s="30" t="s">
        <v>109</v>
      </c>
      <c r="X320"/>
    </row>
    <row r="321" spans="2:24">
      <c r="B321" s="47" t="s">
        <v>371</v>
      </c>
      <c r="C321" s="47"/>
      <c r="D321" s="36">
        <v>0.75486111111111109</v>
      </c>
      <c r="E321" s="36">
        <v>0.75486111111111109</v>
      </c>
      <c r="F321" s="36">
        <v>0.81180555555555556</v>
      </c>
      <c r="G321" s="36">
        <v>0.81180555555555556</v>
      </c>
      <c r="H321" s="30" t="s">
        <v>38</v>
      </c>
      <c r="I321" s="38">
        <v>0.76180555555555551</v>
      </c>
      <c r="J321" s="30" t="s">
        <v>38</v>
      </c>
      <c r="K321" s="38">
        <v>0.80486111111111114</v>
      </c>
      <c r="L321" s="28" t="s">
        <v>131</v>
      </c>
      <c r="M321" s="31">
        <v>0.77083333333333337</v>
      </c>
      <c r="N321" s="38">
        <v>0.79791666666666672</v>
      </c>
      <c r="O321" s="31">
        <v>4.3055555555555555E-2</v>
      </c>
      <c r="P321" s="39">
        <v>16.3</v>
      </c>
      <c r="Q321" s="36">
        <v>4.3055555555555555E-2</v>
      </c>
      <c r="W321" s="30" t="s">
        <v>109</v>
      </c>
      <c r="X321"/>
    </row>
    <row r="322" spans="2:24">
      <c r="B322" s="47" t="s">
        <v>372</v>
      </c>
      <c r="C322" s="46"/>
      <c r="D322" s="31">
        <v>0.25972222222222224</v>
      </c>
      <c r="E322" s="31">
        <v>0.25972222222222224</v>
      </c>
      <c r="F322" s="31" t="str">
        <f ca="1">IF($A$4="平日","21:06","19:29")</f>
        <v>21:06</v>
      </c>
      <c r="G322" s="31" t="str">
        <f ca="1">IF($A$4="平日","21:06","19:29")</f>
        <v>21:06</v>
      </c>
      <c r="H322" s="30" t="s">
        <v>38</v>
      </c>
      <c r="I322" s="31">
        <v>0.27013888888888887</v>
      </c>
      <c r="J322" s="30" t="s">
        <v>38</v>
      </c>
      <c r="K322" s="31" t="str">
        <f ca="1">IF($A$4="平日","20:56","19:19")</f>
        <v>20:56</v>
      </c>
      <c r="L322" s="28" t="s">
        <v>131</v>
      </c>
      <c r="M322" s="31">
        <v>0.27916666666666667</v>
      </c>
      <c r="N322" s="31" t="str">
        <f ca="1">IF($A$4="平日","20:46","19:09")</f>
        <v>20:46</v>
      </c>
      <c r="O322" s="31" t="str">
        <f ca="1">IF($A$4="平日","9:10","7:46")</f>
        <v>9:10</v>
      </c>
      <c r="P322" s="39">
        <f ca="1">IF($A$4="平日",144.7,123.9)</f>
        <v>144.69999999999999</v>
      </c>
      <c r="Q322" s="31" t="str">
        <f ca="1">IF($A$4="平日","10:05","8:28")</f>
        <v>10:05</v>
      </c>
      <c r="W322" s="30" t="s">
        <v>109</v>
      </c>
      <c r="X322"/>
    </row>
    <row r="323" spans="2:24">
      <c r="B323" s="47" t="s">
        <v>373</v>
      </c>
      <c r="C323" s="46"/>
      <c r="D323" s="36">
        <v>0.27708333333333335</v>
      </c>
      <c r="E323" s="36">
        <v>0.27708333333333335</v>
      </c>
      <c r="F323" s="36">
        <v>0.38124999999999998</v>
      </c>
      <c r="G323" s="36">
        <v>0.38124999999999998</v>
      </c>
      <c r="H323" s="30" t="s">
        <v>38</v>
      </c>
      <c r="I323" s="38">
        <v>0.28749999999999998</v>
      </c>
      <c r="J323" s="30" t="s">
        <v>38</v>
      </c>
      <c r="K323" s="38">
        <v>0.37430555555555556</v>
      </c>
      <c r="L323" s="28" t="s">
        <v>154</v>
      </c>
      <c r="M323" s="31">
        <v>0.29652777777777778</v>
      </c>
      <c r="N323" s="38">
        <v>0.37430555555555556</v>
      </c>
      <c r="O323" s="31">
        <v>8.2638888888888887E-2</v>
      </c>
      <c r="P323" s="76">
        <v>33.4</v>
      </c>
      <c r="Q323" s="36">
        <v>0.10416666666666667</v>
      </c>
      <c r="R323" s="39">
        <f ca="1">IF($A$4="平日",144.7,123.9)</f>
        <v>144.69999999999999</v>
      </c>
      <c r="W323" s="30" t="s">
        <v>109</v>
      </c>
      <c r="X323"/>
    </row>
    <row r="324" spans="2:24">
      <c r="K324" s="37"/>
      <c r="R324" s="31"/>
      <c r="S324" s="28"/>
      <c r="T324" s="28"/>
      <c r="W324" s="30"/>
      <c r="X324"/>
    </row>
    <row r="325" spans="2:24">
      <c r="B325" s="47" t="s">
        <v>577</v>
      </c>
      <c r="C325" s="26"/>
      <c r="D325" s="36">
        <v>0.27708333333333335</v>
      </c>
      <c r="E325" s="36">
        <v>0.27708333333333335</v>
      </c>
      <c r="F325" s="36">
        <v>0.42291666666666666</v>
      </c>
      <c r="G325" s="36">
        <v>0.42291666666666666</v>
      </c>
      <c r="H325" s="30" t="s">
        <v>38</v>
      </c>
      <c r="I325" s="38">
        <v>0.28749999999999998</v>
      </c>
      <c r="J325" s="30" t="s">
        <v>38</v>
      </c>
      <c r="K325" s="38">
        <v>0.41597222222222224</v>
      </c>
      <c r="L325" s="28" t="s">
        <v>165</v>
      </c>
      <c r="M325" s="31">
        <v>0.2951388888888889</v>
      </c>
      <c r="N325" s="38">
        <v>0.41041666666666665</v>
      </c>
      <c r="O325" s="31">
        <v>0.12361111111111112</v>
      </c>
      <c r="P325" s="76">
        <v>59.2</v>
      </c>
      <c r="Q325" s="36">
        <v>0.12847222222222221</v>
      </c>
      <c r="W325" s="30" t="s">
        <v>185</v>
      </c>
      <c r="X325"/>
    </row>
    <row r="326" spans="2:24">
      <c r="B326" s="47" t="s">
        <v>434</v>
      </c>
      <c r="C326" s="26"/>
      <c r="D326" s="36">
        <v>0.52361111111111114</v>
      </c>
      <c r="E326" s="36">
        <v>0.52361111111111114</v>
      </c>
      <c r="F326" s="36">
        <v>0.62986111111111109</v>
      </c>
      <c r="G326" s="36">
        <v>0.62986111111111109</v>
      </c>
      <c r="H326" s="30" t="s">
        <v>38</v>
      </c>
      <c r="I326" s="38">
        <v>0.53055555555555556</v>
      </c>
      <c r="J326" s="30" t="s">
        <v>38</v>
      </c>
      <c r="K326" s="38">
        <v>0.62291666666666667</v>
      </c>
      <c r="L326" s="28" t="s">
        <v>165</v>
      </c>
      <c r="M326" s="31">
        <v>0.5395833333333333</v>
      </c>
      <c r="N326" s="38">
        <v>0.61597222222222225</v>
      </c>
      <c r="O326" s="31">
        <v>8.5416666666666669E-2</v>
      </c>
      <c r="P326" s="76">
        <v>37.799999999999997</v>
      </c>
      <c r="Q326" s="36">
        <v>9.2361111111111116E-2</v>
      </c>
      <c r="W326" s="30" t="s">
        <v>185</v>
      </c>
      <c r="X326"/>
    </row>
    <row r="327" spans="2:24">
      <c r="B327" s="47" t="s">
        <v>578</v>
      </c>
      <c r="C327" s="26"/>
      <c r="D327" s="36">
        <v>0.65694444444444444</v>
      </c>
      <c r="E327" s="36">
        <v>0.65694444444444444</v>
      </c>
      <c r="F327" s="36">
        <v>0.78749999999999998</v>
      </c>
      <c r="G327" s="36">
        <v>0.78749999999999998</v>
      </c>
      <c r="H327" s="30" t="s">
        <v>38</v>
      </c>
      <c r="I327" s="38">
        <v>0.66388888888888886</v>
      </c>
      <c r="J327" s="30" t="s">
        <v>53</v>
      </c>
      <c r="K327" s="38">
        <v>0.78055555555555556</v>
      </c>
      <c r="L327" s="28" t="s">
        <v>165</v>
      </c>
      <c r="M327" s="31">
        <v>0.66388888888888886</v>
      </c>
      <c r="N327" s="38">
        <v>0.77361111111111114</v>
      </c>
      <c r="O327" s="31">
        <v>0.10833333333333334</v>
      </c>
      <c r="P327" s="76">
        <v>45.1</v>
      </c>
      <c r="Q327" s="36">
        <v>0.11388888888888889</v>
      </c>
      <c r="W327" s="30" t="s">
        <v>185</v>
      </c>
      <c r="X327"/>
    </row>
    <row r="328" spans="2:24">
      <c r="B328" s="47" t="s">
        <v>431</v>
      </c>
      <c r="C328" s="26"/>
      <c r="D328" s="36">
        <v>0.79652777777777772</v>
      </c>
      <c r="E328" s="36">
        <v>0.79652777777777772</v>
      </c>
      <c r="F328" s="36">
        <v>0.9</v>
      </c>
      <c r="G328" s="36">
        <v>0.9</v>
      </c>
      <c r="H328" s="30" t="s">
        <v>53</v>
      </c>
      <c r="I328" s="38">
        <v>0.80347222222222225</v>
      </c>
      <c r="J328" s="30" t="s">
        <v>38</v>
      </c>
      <c r="K328" s="38">
        <v>0.8930555555555556</v>
      </c>
      <c r="L328" s="28" t="s">
        <v>165</v>
      </c>
      <c r="M328" s="31">
        <v>0.8125</v>
      </c>
      <c r="N328" s="38">
        <v>0.88611111111111107</v>
      </c>
      <c r="O328" s="31">
        <v>8.0555555555555561E-2</v>
      </c>
      <c r="P328" s="76">
        <v>32.200000000000003</v>
      </c>
      <c r="Q328" s="36">
        <v>8.4722222222222227E-2</v>
      </c>
      <c r="W328" s="30" t="s">
        <v>185</v>
      </c>
      <c r="X328"/>
    </row>
    <row r="329" spans="2:24">
      <c r="B329" s="47" t="s">
        <v>374</v>
      </c>
      <c r="C329" s="46"/>
      <c r="D329" s="31">
        <v>0.27708333333333335</v>
      </c>
      <c r="E329" s="31">
        <v>0.27708333333333335</v>
      </c>
      <c r="F329" s="36">
        <v>0.9</v>
      </c>
      <c r="G329" s="36">
        <v>0.9</v>
      </c>
      <c r="H329" s="30" t="s">
        <v>38</v>
      </c>
      <c r="I329" s="31">
        <v>0.28749999999999998</v>
      </c>
      <c r="J329" s="30" t="s">
        <v>38</v>
      </c>
      <c r="K329" s="38">
        <v>0.8930555555555556</v>
      </c>
      <c r="L329" s="28" t="s">
        <v>165</v>
      </c>
      <c r="M329" s="31">
        <v>0.2951388888888889</v>
      </c>
      <c r="N329" s="38">
        <v>0.88611111111111107</v>
      </c>
      <c r="O329" s="31">
        <v>0.39861111111111114</v>
      </c>
      <c r="P329" s="39">
        <v>174.3</v>
      </c>
      <c r="Q329" s="31">
        <v>0.43680555555555556</v>
      </c>
      <c r="W329" s="30" t="s">
        <v>185</v>
      </c>
      <c r="X329"/>
    </row>
    <row r="330" spans="2:24">
      <c r="B330" s="47" t="s">
        <v>375</v>
      </c>
      <c r="C330" s="46"/>
      <c r="D330" s="31">
        <v>0.28125</v>
      </c>
      <c r="E330" s="31">
        <v>0.28125</v>
      </c>
      <c r="F330" s="36">
        <v>0.40069444444444446</v>
      </c>
      <c r="G330" s="36">
        <v>0.40069444444444446</v>
      </c>
      <c r="H330" s="30" t="s">
        <v>38</v>
      </c>
      <c r="I330" s="38">
        <v>0.29166666666666669</v>
      </c>
      <c r="J330" s="30" t="s">
        <v>38</v>
      </c>
      <c r="K330" s="38">
        <v>0.39374999999999999</v>
      </c>
      <c r="L330" s="28" t="s">
        <v>161</v>
      </c>
      <c r="M330" s="31">
        <v>0.30069444444444443</v>
      </c>
      <c r="N330" s="38">
        <v>0.38680555555555557</v>
      </c>
      <c r="O330" s="31">
        <v>9.6527777777777782E-2</v>
      </c>
      <c r="P330" s="39">
        <v>37.799999999999997</v>
      </c>
      <c r="Q330" s="31">
        <v>0.11944444444444445</v>
      </c>
      <c r="W330" s="30" t="s">
        <v>185</v>
      </c>
      <c r="X330"/>
    </row>
    <row r="331" spans="2:24">
      <c r="B331" s="47" t="s">
        <v>579</v>
      </c>
      <c r="C331" s="26"/>
      <c r="D331" s="36">
        <v>0.28194444444444444</v>
      </c>
      <c r="E331" s="36">
        <v>0.28194444444444444</v>
      </c>
      <c r="F331" s="36">
        <v>0.41388888888888886</v>
      </c>
      <c r="G331" s="36">
        <v>0.41180555555555554</v>
      </c>
      <c r="H331" s="30" t="s">
        <v>38</v>
      </c>
      <c r="I331" s="38">
        <v>0.29236111111111113</v>
      </c>
      <c r="J331" s="30" t="s">
        <v>38</v>
      </c>
      <c r="K331" s="38">
        <v>0.40486111111111112</v>
      </c>
      <c r="L331" s="28" t="s">
        <v>478</v>
      </c>
      <c r="M331" s="31">
        <v>0.30138888888888887</v>
      </c>
      <c r="N331" s="38">
        <v>0.40277777777777779</v>
      </c>
      <c r="O331" s="31">
        <v>0.1125</v>
      </c>
      <c r="P331" s="76">
        <v>34.6</v>
      </c>
      <c r="Q331" s="36">
        <v>0.1125</v>
      </c>
      <c r="W331" s="30" t="s">
        <v>185</v>
      </c>
      <c r="X331"/>
    </row>
    <row r="332" spans="2:24">
      <c r="B332" s="47" t="s">
        <v>580</v>
      </c>
      <c r="C332" s="26"/>
      <c r="D332" s="36">
        <v>0.56597222222222221</v>
      </c>
      <c r="E332" s="36">
        <v>0.56597222222222221</v>
      </c>
      <c r="F332" s="36">
        <v>0.69513888888888886</v>
      </c>
      <c r="G332" s="36">
        <v>0.69513888888888886</v>
      </c>
      <c r="H332" s="30" t="s">
        <v>38</v>
      </c>
      <c r="I332" s="38">
        <v>0.57291666666666663</v>
      </c>
      <c r="J332" s="30" t="s">
        <v>38</v>
      </c>
      <c r="K332" s="38">
        <v>0.68819444444444444</v>
      </c>
      <c r="L332" s="28" t="s">
        <v>481</v>
      </c>
      <c r="M332" s="31">
        <v>0.57708333333333328</v>
      </c>
      <c r="N332" s="38">
        <v>0.68611111111111112</v>
      </c>
      <c r="O332" s="31">
        <v>0.11527777777777778</v>
      </c>
      <c r="P332" s="76">
        <v>35</v>
      </c>
      <c r="Q332" s="36">
        <v>0.11527777777777778</v>
      </c>
      <c r="W332" s="30" t="s">
        <v>185</v>
      </c>
      <c r="X332"/>
    </row>
    <row r="333" spans="2:24">
      <c r="B333" s="47" t="s">
        <v>581</v>
      </c>
      <c r="C333" s="26"/>
      <c r="D333" s="36">
        <v>0.72013888888888888</v>
      </c>
      <c r="E333" s="36">
        <v>0.72013888888888888</v>
      </c>
      <c r="F333" s="36">
        <v>0.84513888888888888</v>
      </c>
      <c r="G333" s="36">
        <v>0.84513888888888888</v>
      </c>
      <c r="H333" s="30" t="s">
        <v>38</v>
      </c>
      <c r="I333" s="38">
        <v>0.7270833333333333</v>
      </c>
      <c r="J333" s="30" t="s">
        <v>38</v>
      </c>
      <c r="K333" s="38">
        <v>0.83819444444444446</v>
      </c>
      <c r="L333" s="28" t="s">
        <v>157</v>
      </c>
      <c r="M333" s="31">
        <v>0.7270833333333333</v>
      </c>
      <c r="N333" s="38">
        <v>0.83125000000000004</v>
      </c>
      <c r="O333" s="31">
        <v>0.10555555555555556</v>
      </c>
      <c r="P333" s="76">
        <v>40.4</v>
      </c>
      <c r="Q333" s="36">
        <v>0.11319444444444444</v>
      </c>
      <c r="W333" s="30" t="s">
        <v>185</v>
      </c>
      <c r="X333"/>
    </row>
    <row r="334" spans="2:24">
      <c r="B334" s="47" t="s">
        <v>582</v>
      </c>
      <c r="C334" s="26"/>
      <c r="D334" s="36">
        <v>0.34166666666666667</v>
      </c>
      <c r="E334" s="36">
        <v>0.34166666666666667</v>
      </c>
      <c r="F334" s="36">
        <v>0.41388888888888886</v>
      </c>
      <c r="G334" s="36">
        <v>0.41180555555555554</v>
      </c>
      <c r="H334" s="30" t="s">
        <v>38</v>
      </c>
      <c r="I334" s="38">
        <v>0.35208333333333336</v>
      </c>
      <c r="J334" s="30" t="s">
        <v>38</v>
      </c>
      <c r="K334" s="38">
        <v>0.40486111111111112</v>
      </c>
      <c r="L334" s="28" t="s">
        <v>478</v>
      </c>
      <c r="M334" s="31">
        <v>0.3611111111111111</v>
      </c>
      <c r="N334" s="38">
        <v>0.40277777777777779</v>
      </c>
      <c r="O334" s="31">
        <v>5.2777777777777778E-2</v>
      </c>
      <c r="P334" s="76">
        <v>18.2</v>
      </c>
      <c r="Q334" s="36">
        <v>5.2777777777777778E-2</v>
      </c>
      <c r="W334" s="30" t="s">
        <v>185</v>
      </c>
      <c r="X334"/>
    </row>
    <row r="335" spans="2:24">
      <c r="B335" s="47" t="s">
        <v>583</v>
      </c>
      <c r="C335" s="26"/>
      <c r="D335" s="36">
        <v>0.56041666666666667</v>
      </c>
      <c r="E335" s="36">
        <v>0.56041666666666667</v>
      </c>
      <c r="F335" s="36">
        <v>0.68958333333333333</v>
      </c>
      <c r="G335" s="36">
        <v>0.68958333333333333</v>
      </c>
      <c r="H335" s="30" t="s">
        <v>38</v>
      </c>
      <c r="I335" s="38">
        <v>0.56736111111111109</v>
      </c>
      <c r="J335" s="30" t="s">
        <v>38</v>
      </c>
      <c r="K335" s="38">
        <v>0.68263888888888891</v>
      </c>
      <c r="L335" s="28" t="s">
        <v>478</v>
      </c>
      <c r="M335" s="31">
        <v>0.57152777777777775</v>
      </c>
      <c r="N335" s="38">
        <v>0.68055555555555558</v>
      </c>
      <c r="O335" s="31">
        <v>0.11527777777777778</v>
      </c>
      <c r="P335" s="76">
        <v>35</v>
      </c>
      <c r="Q335" s="36">
        <v>0.11527777777777778</v>
      </c>
      <c r="W335" s="30" t="s">
        <v>185</v>
      </c>
      <c r="X335"/>
    </row>
    <row r="336" spans="2:24">
      <c r="B336" s="47" t="s">
        <v>584</v>
      </c>
      <c r="C336" s="26"/>
      <c r="D336" s="36">
        <v>0.69930555555555551</v>
      </c>
      <c r="E336" s="36">
        <v>0.69930555555555551</v>
      </c>
      <c r="F336" s="36">
        <v>0.78888888888888886</v>
      </c>
      <c r="G336" s="36">
        <v>0.78888888888888886</v>
      </c>
      <c r="H336" s="30" t="s">
        <v>38</v>
      </c>
      <c r="I336" s="38">
        <v>0.70625000000000004</v>
      </c>
      <c r="J336" s="30" t="s">
        <v>38</v>
      </c>
      <c r="K336" s="38">
        <v>0.78194444444444444</v>
      </c>
      <c r="L336" s="28" t="s">
        <v>157</v>
      </c>
      <c r="M336" s="31">
        <v>0.7104166666666667</v>
      </c>
      <c r="N336" s="38">
        <v>0.77500000000000002</v>
      </c>
      <c r="O336" s="31">
        <v>7.5694444444444439E-2</v>
      </c>
      <c r="P336" s="76">
        <v>23.4</v>
      </c>
      <c r="Q336" s="36">
        <v>7.5694444444444439E-2</v>
      </c>
      <c r="W336" s="30" t="s">
        <v>185</v>
      </c>
      <c r="X336"/>
    </row>
    <row r="337" spans="2:24">
      <c r="B337" s="47" t="s">
        <v>376</v>
      </c>
      <c r="C337" s="46"/>
      <c r="D337" s="31" t="str">
        <f ca="1">IF($A$4="平日","6:46","8:12")</f>
        <v>6:46</v>
      </c>
      <c r="E337" s="31" t="str">
        <f ca="1">IF($A$4="平日","6:46","8:12")</f>
        <v>6:46</v>
      </c>
      <c r="F337" s="31" t="str">
        <f ca="1">IF($A$4="平日","20:17","18:56")</f>
        <v>20:17</v>
      </c>
      <c r="G337" s="31" t="str">
        <f ca="1">IF($A$4="平日","20:17","18:56")</f>
        <v>20:17</v>
      </c>
      <c r="H337" s="30" t="s">
        <v>38</v>
      </c>
      <c r="I337" s="31" t="str">
        <f ca="1">IF($A$4="平日","7:01","8:27")</f>
        <v>7:01</v>
      </c>
      <c r="J337" s="30" t="s">
        <v>38</v>
      </c>
      <c r="K337" s="31" t="str">
        <f ca="1">IF($A$4="平日","20:07","18:46")</f>
        <v>20:07</v>
      </c>
      <c r="L337" s="31" t="str">
        <f ca="1">IF($A$4="平日","1050    1060    1032","1050    1588")</f>
        <v>1050    1060    1032</v>
      </c>
      <c r="M337" s="31" t="str">
        <f ca="1">IF($A$4="平日","7:14","8:40")</f>
        <v>7:14</v>
      </c>
      <c r="N337" s="31" t="str">
        <f ca="1">IF($A$4="平日","19:57","18:36")</f>
        <v>19:57</v>
      </c>
      <c r="O337" s="31" t="str">
        <f ca="1">IF($A$4="平日","8:00","5:51")</f>
        <v>8:00</v>
      </c>
      <c r="P337" s="39">
        <f ca="1">IF($A$4="平日",110,76.6)</f>
        <v>110</v>
      </c>
      <c r="Q337" s="31" t="str">
        <f ca="1">IF($A$4="平日","8:36","6:16")</f>
        <v>8:36</v>
      </c>
      <c r="S337" s="31"/>
      <c r="T337" s="31"/>
      <c r="W337" s="30" t="s">
        <v>185</v>
      </c>
      <c r="X337"/>
    </row>
    <row r="338" spans="2:24">
      <c r="B338" s="47" t="s">
        <v>585</v>
      </c>
      <c r="C338" s="26"/>
      <c r="D338" s="36">
        <v>0.29791666666666666</v>
      </c>
      <c r="E338" s="36">
        <v>0.29791666666666666</v>
      </c>
      <c r="F338" s="36">
        <v>0.39791666666666664</v>
      </c>
      <c r="G338" s="36">
        <v>0.39791666666666664</v>
      </c>
      <c r="H338" s="30" t="s">
        <v>38</v>
      </c>
      <c r="I338" s="38">
        <v>0.30833333333333335</v>
      </c>
      <c r="J338" s="30" t="s">
        <v>38</v>
      </c>
      <c r="K338" s="38">
        <v>0.39097222222222222</v>
      </c>
      <c r="L338" s="28">
        <v>1023</v>
      </c>
      <c r="M338" s="31">
        <v>0.31736111111111109</v>
      </c>
      <c r="N338" s="38">
        <v>0.3840277777777778</v>
      </c>
      <c r="O338" s="31">
        <v>7.8472222222222221E-2</v>
      </c>
      <c r="P338" s="76">
        <v>33</v>
      </c>
      <c r="Q338" s="36">
        <v>8.2638888888888887E-2</v>
      </c>
      <c r="W338" s="30" t="s">
        <v>185</v>
      </c>
      <c r="X338"/>
    </row>
    <row r="339" spans="2:24">
      <c r="B339" s="47" t="s">
        <v>377</v>
      </c>
      <c r="C339" s="26"/>
      <c r="D339" s="36">
        <v>0.44722222222222224</v>
      </c>
      <c r="E339" s="36">
        <v>0.44722222222222224</v>
      </c>
      <c r="F339" s="36">
        <v>0.54305555555555551</v>
      </c>
      <c r="G339" s="36">
        <v>0.54305555555555551</v>
      </c>
      <c r="H339" s="30" t="s">
        <v>38</v>
      </c>
      <c r="I339" s="38">
        <v>0.45416666666666666</v>
      </c>
      <c r="J339" s="30" t="s">
        <v>38</v>
      </c>
      <c r="K339" s="38">
        <v>0.53611111111111109</v>
      </c>
      <c r="L339" s="28" t="s">
        <v>586</v>
      </c>
      <c r="M339" s="31">
        <v>0.46319444444444446</v>
      </c>
      <c r="N339" s="38">
        <v>0.52916666666666667</v>
      </c>
      <c r="O339" s="31">
        <v>7.6388888888888895E-2</v>
      </c>
      <c r="P339" s="76">
        <v>30.6</v>
      </c>
      <c r="Q339" s="36">
        <v>8.1944444444444445E-2</v>
      </c>
      <c r="W339" s="30" t="s">
        <v>185</v>
      </c>
      <c r="X339"/>
    </row>
    <row r="340" spans="2:24">
      <c r="B340" s="47" t="s">
        <v>378</v>
      </c>
      <c r="C340" s="26"/>
      <c r="D340" s="36">
        <v>0.56597222222222221</v>
      </c>
      <c r="E340" s="36">
        <v>0.56597222222222221</v>
      </c>
      <c r="F340" s="36">
        <v>0.7</v>
      </c>
      <c r="G340" s="36">
        <v>0.7</v>
      </c>
      <c r="H340" s="30" t="s">
        <v>38</v>
      </c>
      <c r="I340" s="38">
        <v>0.57291666666666663</v>
      </c>
      <c r="J340" s="30" t="s">
        <v>38</v>
      </c>
      <c r="K340" s="38">
        <v>0.69305555555555554</v>
      </c>
      <c r="L340" s="28" t="s">
        <v>62</v>
      </c>
      <c r="M340" s="31">
        <v>0.58194444444444449</v>
      </c>
      <c r="N340" s="38">
        <v>0.68611111111111112</v>
      </c>
      <c r="O340" s="31">
        <v>0.10277777777777777</v>
      </c>
      <c r="P340" s="76">
        <v>45.9</v>
      </c>
      <c r="Q340" s="36">
        <v>0.10277777777777777</v>
      </c>
      <c r="W340" s="30" t="s">
        <v>185</v>
      </c>
      <c r="X340"/>
    </row>
    <row r="341" spans="2:24">
      <c r="B341" s="47" t="s">
        <v>379</v>
      </c>
      <c r="C341" s="26"/>
      <c r="D341" s="36">
        <v>0.72222222222222221</v>
      </c>
      <c r="E341" s="36">
        <v>0.72222222222222221</v>
      </c>
      <c r="F341" s="36">
        <v>0.81944444444444442</v>
      </c>
      <c r="G341" s="36">
        <v>0.81944444444444442</v>
      </c>
      <c r="H341" s="30" t="s">
        <v>38</v>
      </c>
      <c r="I341" s="38">
        <v>0.72916666666666663</v>
      </c>
      <c r="J341" s="30" t="s">
        <v>53</v>
      </c>
      <c r="K341" s="38">
        <v>0.8125</v>
      </c>
      <c r="L341" s="28" t="s">
        <v>62</v>
      </c>
      <c r="M341" s="31">
        <v>0.73819444444444449</v>
      </c>
      <c r="N341" s="38">
        <v>0.80555555555555558</v>
      </c>
      <c r="O341" s="31">
        <v>6.9444444444444448E-2</v>
      </c>
      <c r="P341" s="76">
        <v>29.3</v>
      </c>
      <c r="Q341" s="36">
        <v>7.8472222222222221E-2</v>
      </c>
      <c r="W341" s="30" t="s">
        <v>185</v>
      </c>
      <c r="X341"/>
    </row>
    <row r="342" spans="2:24">
      <c r="B342" s="47" t="s">
        <v>587</v>
      </c>
      <c r="C342" s="26"/>
      <c r="D342" s="36">
        <v>0.82986111111111116</v>
      </c>
      <c r="E342" s="36">
        <v>0.82986111111111116</v>
      </c>
      <c r="F342" s="36">
        <v>0.88749999999999996</v>
      </c>
      <c r="G342" s="36">
        <v>0.88749999999999996</v>
      </c>
      <c r="H342" s="30" t="s">
        <v>53</v>
      </c>
      <c r="I342" s="38">
        <v>0.83680555555555558</v>
      </c>
      <c r="J342" s="30" t="s">
        <v>408</v>
      </c>
      <c r="K342" s="38">
        <v>0.88055555555555554</v>
      </c>
      <c r="L342" s="28" t="s">
        <v>62</v>
      </c>
      <c r="M342" s="31">
        <v>0.88055555555555554</v>
      </c>
      <c r="N342" s="38">
        <v>0.88055555555555554</v>
      </c>
      <c r="O342" s="31">
        <v>3.888888888888889E-2</v>
      </c>
      <c r="P342" s="76">
        <v>16.399999999999999</v>
      </c>
      <c r="Q342" s="36">
        <v>3.888888888888889E-2</v>
      </c>
      <c r="W342" s="30" t="s">
        <v>185</v>
      </c>
      <c r="X342"/>
    </row>
    <row r="343" spans="2:24">
      <c r="B343" s="47" t="s">
        <v>588</v>
      </c>
      <c r="C343" s="26"/>
      <c r="D343" s="36">
        <v>0.82986111111111116</v>
      </c>
      <c r="E343" s="36">
        <v>0.82986111111111116</v>
      </c>
      <c r="F343" s="36">
        <v>0.91180555555555554</v>
      </c>
      <c r="G343" s="36">
        <v>0.91180555555555554</v>
      </c>
      <c r="H343" s="30" t="s">
        <v>53</v>
      </c>
      <c r="I343" s="38">
        <v>0.83680555555555558</v>
      </c>
      <c r="J343" s="30" t="s">
        <v>38</v>
      </c>
      <c r="K343" s="38">
        <v>0.90486111111111112</v>
      </c>
      <c r="L343" s="28" t="s">
        <v>62</v>
      </c>
      <c r="M343" s="31">
        <v>0.84583333333333333</v>
      </c>
      <c r="N343" s="38">
        <v>0.90486111111111112</v>
      </c>
      <c r="O343" s="31">
        <v>6.3194444444444442E-2</v>
      </c>
      <c r="P343" s="76">
        <v>28.4</v>
      </c>
      <c r="Q343" s="36">
        <v>6.3194444444444442E-2</v>
      </c>
      <c r="W343" s="30" t="s">
        <v>185</v>
      </c>
      <c r="X343"/>
    </row>
    <row r="344" spans="2:24">
      <c r="B344" s="47" t="s">
        <v>380</v>
      </c>
      <c r="C344" s="87"/>
      <c r="D344" s="31">
        <v>0.31874999999999998</v>
      </c>
      <c r="E344" s="31">
        <v>0.31874999999999998</v>
      </c>
      <c r="F344" s="31">
        <v>0.91180555555555554</v>
      </c>
      <c r="G344" s="31">
        <v>0.91180555555555554</v>
      </c>
      <c r="H344" s="30" t="s">
        <v>38</v>
      </c>
      <c r="I344" s="31">
        <v>0.29375000000000001</v>
      </c>
      <c r="J344" s="30" t="s">
        <v>38</v>
      </c>
      <c r="K344" s="38">
        <v>0.90486111111111112</v>
      </c>
      <c r="L344" s="30" t="s">
        <v>454</v>
      </c>
      <c r="M344" s="31">
        <v>0.30277777777777776</v>
      </c>
      <c r="N344" s="31">
        <v>0.90486111111111112</v>
      </c>
      <c r="O344" s="31">
        <v>0.39027777777777778</v>
      </c>
      <c r="P344" s="40">
        <v>167.2</v>
      </c>
      <c r="Q344" s="31">
        <v>0.42638888888888887</v>
      </c>
      <c r="W344" s="30" t="s">
        <v>185</v>
      </c>
      <c r="X344"/>
    </row>
    <row r="345" spans="2:24">
      <c r="B345" s="47" t="s">
        <v>381</v>
      </c>
      <c r="C345" s="46"/>
      <c r="D345" s="31">
        <v>0.29791666666666666</v>
      </c>
      <c r="E345" s="31">
        <v>0.29791666666666666</v>
      </c>
      <c r="F345" s="31">
        <v>0.88749999999999996</v>
      </c>
      <c r="G345" s="31">
        <v>0.88749999999999996</v>
      </c>
      <c r="H345" s="30" t="s">
        <v>38</v>
      </c>
      <c r="I345" s="31">
        <v>0.30833333333333335</v>
      </c>
      <c r="J345" s="30" t="s">
        <v>408</v>
      </c>
      <c r="K345" s="38">
        <v>0.88055555555555554</v>
      </c>
      <c r="L345" s="30" t="s">
        <v>454</v>
      </c>
      <c r="M345" s="31">
        <v>0.31736111111111109</v>
      </c>
      <c r="N345" s="31">
        <v>0.88055555555555554</v>
      </c>
      <c r="O345" s="31">
        <v>0.3659722222222222</v>
      </c>
      <c r="P345" s="40">
        <v>155.19999999999999</v>
      </c>
      <c r="Q345" s="31">
        <v>0.40208333333333335</v>
      </c>
      <c r="W345" s="30" t="s">
        <v>185</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38</v>
      </c>
      <c r="K346" s="38">
        <v>0.33750000000000002</v>
      </c>
      <c r="L346" s="28" t="s">
        <v>62</v>
      </c>
      <c r="M346" s="31">
        <v>0.28611111111111109</v>
      </c>
      <c r="N346" s="38">
        <v>0.33055555555555555</v>
      </c>
      <c r="O346" s="31">
        <v>5.1388888888888887E-2</v>
      </c>
      <c r="P346" s="39">
        <v>18.899999999999999</v>
      </c>
      <c r="Q346" s="36">
        <v>5.1388888888888887E-2</v>
      </c>
      <c r="W346" s="30" t="s">
        <v>185</v>
      </c>
      <c r="X346"/>
    </row>
    <row r="347" spans="2:24">
      <c r="B347" s="47" t="s">
        <v>383</v>
      </c>
      <c r="C347" s="47"/>
      <c r="D347" s="36">
        <v>0.24930555555555556</v>
      </c>
      <c r="E347" s="36">
        <v>0.24930555555555556</v>
      </c>
      <c r="F347" s="36">
        <v>0.34444444444444444</v>
      </c>
      <c r="G347" s="36">
        <v>0.34444444444444444</v>
      </c>
      <c r="H347" s="30" t="s">
        <v>38</v>
      </c>
      <c r="I347" s="38">
        <v>0.25972222222222224</v>
      </c>
      <c r="J347" s="30" t="s">
        <v>38</v>
      </c>
      <c r="K347" s="38">
        <v>0.33750000000000002</v>
      </c>
      <c r="L347" s="28" t="s">
        <v>62</v>
      </c>
      <c r="M347" s="31">
        <v>0.25972222222222224</v>
      </c>
      <c r="N347" s="38">
        <v>0.33055555555555555</v>
      </c>
      <c r="O347" s="31">
        <v>7.7777777777777779E-2</v>
      </c>
      <c r="P347" s="39">
        <v>30.9</v>
      </c>
      <c r="Q347" s="36">
        <v>7.7777777777777779E-2</v>
      </c>
      <c r="W347" s="30" t="s">
        <v>185</v>
      </c>
      <c r="X347"/>
    </row>
    <row r="348" spans="2:24">
      <c r="B348" s="47" t="s">
        <v>634</v>
      </c>
      <c r="D348" s="36">
        <v>0.35555555555555557</v>
      </c>
      <c r="E348" s="36">
        <v>0.35555555555555557</v>
      </c>
      <c r="F348" s="36">
        <v>0.46319444444444446</v>
      </c>
      <c r="G348" s="36">
        <v>0.46319444444444446</v>
      </c>
      <c r="H348" s="30" t="s">
        <v>38</v>
      </c>
      <c r="I348" s="37">
        <v>0.36249999999999999</v>
      </c>
      <c r="J348" s="30" t="s">
        <v>38</v>
      </c>
      <c r="K348" s="38">
        <v>0.45624999999999999</v>
      </c>
      <c r="L348" s="28" t="s">
        <v>62</v>
      </c>
      <c r="M348" s="36">
        <v>0.37152777777777779</v>
      </c>
      <c r="N348" s="37">
        <v>0.44930555555555557</v>
      </c>
      <c r="O348" s="37">
        <v>8.1250000000000003E-2</v>
      </c>
      <c r="P348" s="39">
        <v>35.299999999999997</v>
      </c>
      <c r="Q348" s="36">
        <v>8.8888888888888892E-2</v>
      </c>
      <c r="W348" s="30" t="s">
        <v>185</v>
      </c>
      <c r="X348"/>
    </row>
    <row r="349" spans="2:24">
      <c r="B349" s="47" t="s">
        <v>384</v>
      </c>
      <c r="C349" s="87"/>
      <c r="D349" s="36">
        <v>0.24930555555555556</v>
      </c>
      <c r="E349" s="36">
        <v>0.24930555555555556</v>
      </c>
      <c r="F349" s="36">
        <v>0.46319444444444446</v>
      </c>
      <c r="G349" s="36">
        <v>0.46319444444444446</v>
      </c>
      <c r="H349" s="30" t="s">
        <v>38</v>
      </c>
      <c r="I349" s="38">
        <v>0.25972222222222224</v>
      </c>
      <c r="J349" s="30" t="s">
        <v>38</v>
      </c>
      <c r="K349" s="38">
        <v>0.45624999999999999</v>
      </c>
      <c r="L349" s="28" t="s">
        <v>62</v>
      </c>
      <c r="M349" s="31">
        <v>0.25972222222222224</v>
      </c>
      <c r="N349" s="36">
        <v>0.45624999999999999</v>
      </c>
      <c r="O349" s="31">
        <v>0.15416666666666667</v>
      </c>
      <c r="P349" s="39">
        <v>63.7</v>
      </c>
      <c r="Q349" s="31">
        <v>0.17916666666666667</v>
      </c>
      <c r="W349" s="30" t="s">
        <v>185</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38</v>
      </c>
      <c r="K350" s="38">
        <v>0.45624999999999999</v>
      </c>
      <c r="L350" s="28" t="s">
        <v>62</v>
      </c>
      <c r="M350" s="31">
        <v>0.28611111111111109</v>
      </c>
      <c r="N350" s="36">
        <v>0.44930555555555557</v>
      </c>
      <c r="O350" s="31">
        <v>0.12777777777777777</v>
      </c>
      <c r="P350" s="39">
        <v>51.7</v>
      </c>
      <c r="Q350" s="31">
        <v>0.15277777777777779</v>
      </c>
      <c r="R350" s="76">
        <v>155.19999999999999</v>
      </c>
      <c r="W350" s="30" t="s">
        <v>185</v>
      </c>
      <c r="X350"/>
    </row>
    <row r="351" spans="2:24">
      <c r="B351" s="47"/>
      <c r="C351" s="26"/>
      <c r="H351" s="30"/>
      <c r="I351" s="38"/>
      <c r="J351" s="30"/>
      <c r="K351" s="38"/>
      <c r="L351" s="28"/>
      <c r="M351" s="31"/>
      <c r="N351" s="38"/>
      <c r="O351" s="31"/>
      <c r="P351" s="76"/>
      <c r="Q351" s="36"/>
      <c r="W351" s="30"/>
      <c r="X351"/>
    </row>
    <row r="352" spans="2:24">
      <c r="B352" s="44" t="s">
        <v>450</v>
      </c>
      <c r="C352" s="46"/>
      <c r="D352" s="36">
        <v>0.37013888888888891</v>
      </c>
      <c r="E352" s="36">
        <v>0.37013888888888891</v>
      </c>
      <c r="F352" s="36">
        <v>0.73541666666666672</v>
      </c>
      <c r="G352" s="36">
        <v>0.73541666666666672</v>
      </c>
      <c r="H352" s="30" t="s">
        <v>38</v>
      </c>
      <c r="I352" s="38">
        <v>0.38055555555555554</v>
      </c>
      <c r="J352" s="30" t="s">
        <v>38</v>
      </c>
      <c r="K352" s="31">
        <v>0.72847222222222219</v>
      </c>
      <c r="L352" s="28" t="s">
        <v>164</v>
      </c>
      <c r="M352" s="31">
        <v>0.39513888888888887</v>
      </c>
      <c r="N352" s="38">
        <v>0.71597222222222223</v>
      </c>
      <c r="O352" s="31">
        <v>0.19583333333333333</v>
      </c>
      <c r="P352" s="39">
        <v>68.8</v>
      </c>
      <c r="Q352" s="36">
        <v>0.21319444444444444</v>
      </c>
      <c r="W352" s="30" t="s">
        <v>185</v>
      </c>
      <c r="X352"/>
    </row>
    <row r="353" spans="2:24">
      <c r="B353" s="44" t="s">
        <v>486</v>
      </c>
      <c r="C353" s="26"/>
      <c r="D353" s="36">
        <v>0.27916666666666667</v>
      </c>
      <c r="E353" s="36">
        <v>0.27916666666666667</v>
      </c>
      <c r="F353" s="36">
        <v>0.38958333333333334</v>
      </c>
      <c r="G353" s="36">
        <v>0.38958333333333334</v>
      </c>
      <c r="H353" s="30" t="s">
        <v>38</v>
      </c>
      <c r="I353" s="38">
        <v>0.28958333333333336</v>
      </c>
      <c r="J353" s="30" t="s">
        <v>38</v>
      </c>
      <c r="K353" s="31">
        <v>0.38263888888888886</v>
      </c>
      <c r="L353" s="28" t="s">
        <v>162</v>
      </c>
      <c r="M353" s="31">
        <v>0.30416666666666664</v>
      </c>
      <c r="N353" s="38">
        <v>0.38055555555555554</v>
      </c>
      <c r="O353" s="31">
        <v>9.3055555555555558E-2</v>
      </c>
      <c r="P353" s="39">
        <v>30</v>
      </c>
      <c r="Q353" s="36">
        <v>9.3055555555555558E-2</v>
      </c>
      <c r="W353" s="30" t="s">
        <v>185</v>
      </c>
      <c r="X353"/>
    </row>
    <row r="354" spans="2:24">
      <c r="B354" s="44" t="s">
        <v>487</v>
      </c>
      <c r="C354" s="26"/>
      <c r="D354" s="36">
        <v>0.39930555555555558</v>
      </c>
      <c r="E354" s="36">
        <v>0.39930555555555558</v>
      </c>
      <c r="F354" s="36">
        <v>0.47291666666666665</v>
      </c>
      <c r="G354" s="36">
        <v>0.47291666666666665</v>
      </c>
      <c r="H354" s="30" t="s">
        <v>38</v>
      </c>
      <c r="I354" s="38">
        <v>0.40625</v>
      </c>
      <c r="J354" s="30" t="s">
        <v>38</v>
      </c>
      <c r="K354" s="31">
        <v>0.46597222222222223</v>
      </c>
      <c r="L354" s="28" t="s">
        <v>481</v>
      </c>
      <c r="M354" s="31">
        <v>0.41041666666666665</v>
      </c>
      <c r="N354" s="38">
        <v>0.46388888888888891</v>
      </c>
      <c r="O354" s="31">
        <v>5.9722222222222225E-2</v>
      </c>
      <c r="P354" s="39">
        <v>18.600000000000001</v>
      </c>
      <c r="Q354" s="36">
        <v>5.9722222222222225E-2</v>
      </c>
      <c r="W354" s="30" t="s">
        <v>185</v>
      </c>
      <c r="X354"/>
    </row>
    <row r="355" spans="2:24">
      <c r="B355" s="44" t="s">
        <v>488</v>
      </c>
      <c r="C355" s="26"/>
      <c r="D355" s="36">
        <v>0.53819444444444442</v>
      </c>
      <c r="E355" s="36">
        <v>0.53819444444444442</v>
      </c>
      <c r="F355" s="36">
        <v>0.6118055555555556</v>
      </c>
      <c r="G355" s="36">
        <v>0.6118055555555556</v>
      </c>
      <c r="H355" s="30" t="s">
        <v>38</v>
      </c>
      <c r="I355" s="38">
        <v>0.54513888888888884</v>
      </c>
      <c r="J355" s="30" t="s">
        <v>38</v>
      </c>
      <c r="K355" s="31">
        <v>0.60486111111111107</v>
      </c>
      <c r="L355" s="28" t="s">
        <v>162</v>
      </c>
      <c r="M355" s="31">
        <v>0.5493055555555556</v>
      </c>
      <c r="N355" s="38">
        <v>0.60277777777777775</v>
      </c>
      <c r="O355" s="31">
        <v>5.9722222222222225E-2</v>
      </c>
      <c r="P355" s="39">
        <v>18.600000000000001</v>
      </c>
      <c r="Q355" s="36">
        <v>5.9722222222222225E-2</v>
      </c>
      <c r="W355" s="30" t="s">
        <v>185</v>
      </c>
      <c r="X355"/>
    </row>
    <row r="356" spans="2:24">
      <c r="B356" s="44" t="s">
        <v>489</v>
      </c>
      <c r="C356" s="26"/>
      <c r="D356" s="36">
        <v>0.67152777777777772</v>
      </c>
      <c r="E356" s="36">
        <v>0.67152777777777772</v>
      </c>
      <c r="F356" s="36">
        <v>0.81597222222222221</v>
      </c>
      <c r="G356" s="36">
        <v>0.81597222222222221</v>
      </c>
      <c r="H356" s="30" t="s">
        <v>38</v>
      </c>
      <c r="I356" s="38">
        <v>0.67847222222222225</v>
      </c>
      <c r="J356" s="30" t="s">
        <v>38</v>
      </c>
      <c r="K356" s="31">
        <v>0.80902777777777779</v>
      </c>
      <c r="L356" s="28" t="s">
        <v>478</v>
      </c>
      <c r="M356" s="31">
        <v>0.68263888888888891</v>
      </c>
      <c r="N356" s="38">
        <v>0.80208333333333337</v>
      </c>
      <c r="O356" s="31">
        <v>0.13055555555555556</v>
      </c>
      <c r="P356" s="39">
        <v>39.799999999999997</v>
      </c>
      <c r="Q356" s="36">
        <v>0.13055555555555556</v>
      </c>
      <c r="W356" s="30" t="s">
        <v>185</v>
      </c>
      <c r="X356"/>
    </row>
    <row r="357" spans="2:24">
      <c r="B357" s="44" t="s">
        <v>386</v>
      </c>
      <c r="C357" s="46"/>
      <c r="D357" s="31">
        <v>0.27916666666666667</v>
      </c>
      <c r="E357" s="31">
        <v>0.27916666666666667</v>
      </c>
      <c r="F357" s="31">
        <v>0.81597222222222221</v>
      </c>
      <c r="G357" s="31">
        <v>0.81597222222222221</v>
      </c>
      <c r="H357" s="30" t="s">
        <v>38</v>
      </c>
      <c r="I357" s="31">
        <v>0.28958333333333336</v>
      </c>
      <c r="J357" s="30" t="s">
        <v>38</v>
      </c>
      <c r="K357" s="31">
        <v>0.80902777777777779</v>
      </c>
      <c r="L357" s="31" t="s">
        <v>635</v>
      </c>
      <c r="M357" s="31">
        <v>0.30416666666666664</v>
      </c>
      <c r="N357" s="31">
        <v>0.80208333333333337</v>
      </c>
      <c r="O357" s="31">
        <v>0.34375</v>
      </c>
      <c r="P357" s="39">
        <v>107</v>
      </c>
      <c r="Q357" s="31">
        <v>0.36041666666666666</v>
      </c>
      <c r="R357" s="31"/>
      <c r="S357" s="28"/>
      <c r="T357" s="28"/>
      <c r="W357" s="30" t="s">
        <v>185</v>
      </c>
      <c r="X357"/>
    </row>
    <row r="358" spans="2:24">
      <c r="B358" s="44" t="s">
        <v>636</v>
      </c>
      <c r="C358" s="45"/>
      <c r="D358" s="36">
        <v>0.30069444444444443</v>
      </c>
      <c r="E358" s="36">
        <v>0.30069444444444443</v>
      </c>
      <c r="F358" s="36">
        <v>0.40625</v>
      </c>
      <c r="G358" s="36">
        <v>0.40625</v>
      </c>
      <c r="H358" s="30" t="s">
        <v>38</v>
      </c>
      <c r="I358" s="38">
        <v>0.31111111111111112</v>
      </c>
      <c r="J358" s="30" t="s">
        <v>53</v>
      </c>
      <c r="K358" s="38">
        <v>0.39930555555555558</v>
      </c>
      <c r="L358" s="28" t="s">
        <v>169</v>
      </c>
      <c r="M358" s="31">
        <v>0.32013888888888886</v>
      </c>
      <c r="N358" s="38">
        <v>0.3923611111111111</v>
      </c>
      <c r="O358" s="31">
        <v>8.1250000000000003E-2</v>
      </c>
      <c r="P358" s="39">
        <v>27.8</v>
      </c>
      <c r="Q358" s="36">
        <v>8.3333333333333329E-2</v>
      </c>
      <c r="R358" s="31"/>
      <c r="S358" s="28"/>
      <c r="T358" s="28"/>
      <c r="W358" s="30" t="s">
        <v>185</v>
      </c>
      <c r="X358"/>
    </row>
    <row r="359" spans="2:24">
      <c r="B359" s="44" t="s">
        <v>637</v>
      </c>
      <c r="C359" s="45"/>
      <c r="D359" s="31">
        <v>0.39861111111111114</v>
      </c>
      <c r="E359" s="31">
        <v>0.39861111111111114</v>
      </c>
      <c r="F359" s="31">
        <v>0.51111111111111107</v>
      </c>
      <c r="G359" s="31">
        <v>0.51111111111111107</v>
      </c>
      <c r="H359" s="30" t="s">
        <v>53</v>
      </c>
      <c r="I359" s="31">
        <v>0.40555555555555556</v>
      </c>
      <c r="J359" s="30" t="s">
        <v>38</v>
      </c>
      <c r="K359" s="31">
        <v>0.50416666666666665</v>
      </c>
      <c r="L359" s="28" t="s">
        <v>169</v>
      </c>
      <c r="M359" s="31">
        <v>0.41458333333333336</v>
      </c>
      <c r="N359" s="31">
        <v>0.50416666666666665</v>
      </c>
      <c r="O359" s="31">
        <v>8.4027777777777785E-2</v>
      </c>
      <c r="P359" s="39">
        <v>35.299999999999997</v>
      </c>
      <c r="Q359" s="31">
        <v>9.375E-2</v>
      </c>
      <c r="R359" s="31"/>
      <c r="S359" s="28"/>
      <c r="T359" s="28"/>
      <c r="W359" s="30" t="s">
        <v>185</v>
      </c>
      <c r="X359"/>
    </row>
    <row r="360" spans="2:24">
      <c r="B360" s="44" t="s">
        <v>638</v>
      </c>
      <c r="C360" s="45"/>
      <c r="D360" s="31">
        <v>0.66041666666666665</v>
      </c>
      <c r="E360" s="31">
        <v>0.66041666666666665</v>
      </c>
      <c r="F360" s="31">
        <v>0.75486111111111109</v>
      </c>
      <c r="G360" s="31">
        <v>0.75486111111111109</v>
      </c>
      <c r="H360" s="30" t="s">
        <v>38</v>
      </c>
      <c r="I360" s="31">
        <v>0.66736111111111107</v>
      </c>
      <c r="J360" s="30" t="s">
        <v>53</v>
      </c>
      <c r="K360" s="31">
        <v>0.74791666666666667</v>
      </c>
      <c r="L360" s="28" t="s">
        <v>169</v>
      </c>
      <c r="M360" s="31">
        <v>0.67638888888888893</v>
      </c>
      <c r="N360" s="31">
        <v>0.74097222222222225</v>
      </c>
      <c r="O360" s="31">
        <v>7.013888888888889E-2</v>
      </c>
      <c r="P360" s="39">
        <v>27.8</v>
      </c>
      <c r="Q360" s="31">
        <v>7.5694444444444439E-2</v>
      </c>
      <c r="R360" s="31"/>
      <c r="S360" s="28"/>
      <c r="T360" s="28"/>
      <c r="W360" s="30" t="s">
        <v>185</v>
      </c>
      <c r="X360"/>
    </row>
    <row r="361" spans="2:24">
      <c r="B361" s="44" t="s">
        <v>639</v>
      </c>
      <c r="C361" s="45"/>
      <c r="D361" s="31">
        <v>0.75694444444444442</v>
      </c>
      <c r="E361" s="31">
        <v>0.75694444444444442</v>
      </c>
      <c r="F361" s="31">
        <v>0.85833333333333328</v>
      </c>
      <c r="G361" s="31">
        <v>0.85833333333333328</v>
      </c>
      <c r="H361" s="30" t="s">
        <v>53</v>
      </c>
      <c r="I361" s="31">
        <v>0.76388888888888884</v>
      </c>
      <c r="J361" s="30" t="s">
        <v>38</v>
      </c>
      <c r="K361" s="31">
        <v>0.85138888888888886</v>
      </c>
      <c r="L361" s="28" t="s">
        <v>169</v>
      </c>
      <c r="M361" s="31">
        <v>0.7729166666666667</v>
      </c>
      <c r="N361" s="31">
        <v>0.84444444444444444</v>
      </c>
      <c r="O361" s="31">
        <v>7.4305555555555555E-2</v>
      </c>
      <c r="P361" s="39">
        <v>28.1</v>
      </c>
      <c r="Q361" s="31">
        <v>8.2638888888888887E-2</v>
      </c>
      <c r="R361" s="31"/>
      <c r="S361" s="28"/>
      <c r="T361" s="28"/>
      <c r="W361" s="30" t="s">
        <v>185</v>
      </c>
      <c r="X361"/>
    </row>
    <row r="362" spans="2:24">
      <c r="B362" s="44" t="s">
        <v>387</v>
      </c>
      <c r="C362" s="46"/>
      <c r="D362" s="31">
        <v>0.30069444444444443</v>
      </c>
      <c r="E362" s="31">
        <v>0.30069444444444443</v>
      </c>
      <c r="F362" s="31">
        <v>0.85833333333333328</v>
      </c>
      <c r="G362" s="31">
        <v>0.85833333333333328</v>
      </c>
      <c r="H362" s="30" t="s">
        <v>38</v>
      </c>
      <c r="I362" s="31">
        <v>0.31111111111111112</v>
      </c>
      <c r="J362" s="30" t="s">
        <v>38</v>
      </c>
      <c r="K362" s="31">
        <v>0.85138888888888886</v>
      </c>
      <c r="L362" s="28" t="s">
        <v>169</v>
      </c>
      <c r="M362" s="31">
        <v>0.32013888888888886</v>
      </c>
      <c r="N362" s="31">
        <v>0.84444444444444444</v>
      </c>
      <c r="O362" s="31">
        <v>0.30972222222222223</v>
      </c>
      <c r="P362" s="39">
        <v>119</v>
      </c>
      <c r="Q362" s="31">
        <v>0.3527777777777778</v>
      </c>
      <c r="W362" s="30" t="s">
        <v>185</v>
      </c>
      <c r="X362"/>
    </row>
    <row r="363" spans="2:24">
      <c r="B363" s="44" t="s">
        <v>640</v>
      </c>
      <c r="C363" s="45"/>
      <c r="D363" s="31">
        <v>0.30277777777777776</v>
      </c>
      <c r="E363" s="31">
        <v>0.30277777777777776</v>
      </c>
      <c r="F363" s="31">
        <v>0.36458333333333331</v>
      </c>
      <c r="G363" s="31">
        <v>0.36458333333333331</v>
      </c>
      <c r="H363" s="30" t="s">
        <v>38</v>
      </c>
      <c r="I363" s="31">
        <v>0.31319444444444444</v>
      </c>
      <c r="J363" s="30" t="s">
        <v>38</v>
      </c>
      <c r="K363" s="31">
        <v>0.3576388888888889</v>
      </c>
      <c r="L363" s="28" t="s">
        <v>641</v>
      </c>
      <c r="M363" s="31">
        <v>0.32222222222222224</v>
      </c>
      <c r="N363" s="31">
        <v>0.3576388888888889</v>
      </c>
      <c r="O363" s="31">
        <v>4.4444444444444446E-2</v>
      </c>
      <c r="P363" s="39">
        <v>19.2</v>
      </c>
      <c r="Q363" s="31">
        <v>6.1805555555555558E-2</v>
      </c>
      <c r="W363" s="30" t="s">
        <v>185</v>
      </c>
      <c r="X363"/>
    </row>
    <row r="364" spans="2:24">
      <c r="B364" s="44" t="s">
        <v>642</v>
      </c>
      <c r="C364" s="45"/>
      <c r="D364" s="31">
        <v>0.62847222222222221</v>
      </c>
      <c r="E364" s="31">
        <v>0.62847222222222221</v>
      </c>
      <c r="F364" s="31">
        <v>0.75277777777777777</v>
      </c>
      <c r="G364" s="31">
        <v>0.75277777777777777</v>
      </c>
      <c r="H364" s="30" t="s">
        <v>38</v>
      </c>
      <c r="I364" s="31">
        <v>0.63541666666666663</v>
      </c>
      <c r="J364" s="30" t="s">
        <v>38</v>
      </c>
      <c r="K364" s="31">
        <v>0.74583333333333335</v>
      </c>
      <c r="L364" s="28" t="s">
        <v>629</v>
      </c>
      <c r="M364" s="31">
        <v>0.64444444444444449</v>
      </c>
      <c r="N364" s="31">
        <v>0.73888888888888893</v>
      </c>
      <c r="O364" s="31">
        <v>0.10555555555555556</v>
      </c>
      <c r="P364" s="39">
        <v>41.8</v>
      </c>
      <c r="Q364" s="31">
        <v>0.11041666666666666</v>
      </c>
      <c r="W364" s="30" t="s">
        <v>185</v>
      </c>
      <c r="X364"/>
    </row>
    <row r="365" spans="2:24">
      <c r="B365" s="44" t="s">
        <v>643</v>
      </c>
      <c r="C365" s="45"/>
      <c r="D365" s="31">
        <v>0.77569444444444446</v>
      </c>
      <c r="E365" s="31">
        <v>0.77569444444444446</v>
      </c>
      <c r="F365" s="31">
        <v>0.88749999999999996</v>
      </c>
      <c r="G365" s="31">
        <v>0.88749999999999996</v>
      </c>
      <c r="H365" s="30" t="s">
        <v>38</v>
      </c>
      <c r="I365" s="31">
        <v>0.78263888888888888</v>
      </c>
      <c r="J365" s="30" t="s">
        <v>38</v>
      </c>
      <c r="K365" s="31">
        <v>0.88055555555555554</v>
      </c>
      <c r="L365" s="28" t="s">
        <v>629</v>
      </c>
      <c r="M365" s="31">
        <v>0.79166666666666663</v>
      </c>
      <c r="N365" s="31">
        <v>0.87361111111111112</v>
      </c>
      <c r="O365" s="31">
        <v>9.4444444444444442E-2</v>
      </c>
      <c r="P365" s="39">
        <v>42.8</v>
      </c>
      <c r="Q365" s="31">
        <v>9.7916666666666666E-2</v>
      </c>
      <c r="W365" s="30" t="s">
        <v>185</v>
      </c>
      <c r="X365"/>
    </row>
    <row r="366" spans="2:24">
      <c r="B366" s="44" t="s">
        <v>388</v>
      </c>
      <c r="C366" s="46"/>
      <c r="D366" s="36">
        <v>0.30277777777777776</v>
      </c>
      <c r="E366" s="36">
        <v>0.30277777777777776</v>
      </c>
      <c r="F366" s="36">
        <v>0.88749999999999996</v>
      </c>
      <c r="G366" s="36">
        <v>0.88749999999999996</v>
      </c>
      <c r="H366" s="30" t="s">
        <v>38</v>
      </c>
      <c r="I366" s="38">
        <v>0.31319444444444444</v>
      </c>
      <c r="J366" s="30" t="s">
        <v>38</v>
      </c>
      <c r="K366" s="31">
        <v>0.88055555555555554</v>
      </c>
      <c r="L366" s="28" t="s">
        <v>644</v>
      </c>
      <c r="M366" s="31">
        <v>0.32222222222222224</v>
      </c>
      <c r="N366" s="38">
        <v>0.87361111111111112</v>
      </c>
      <c r="O366" s="31">
        <v>0.24444444444444444</v>
      </c>
      <c r="P366" s="39">
        <v>103.8</v>
      </c>
      <c r="Q366" s="36">
        <v>0.27013888888888887</v>
      </c>
      <c r="W366" s="30" t="s">
        <v>185</v>
      </c>
      <c r="X366"/>
    </row>
    <row r="367" spans="2:24">
      <c r="B367" s="44" t="s">
        <v>389</v>
      </c>
      <c r="C367" s="46"/>
      <c r="D367" s="31">
        <v>0.29583333333333334</v>
      </c>
      <c r="E367" s="31">
        <v>0.29583333333333334</v>
      </c>
      <c r="F367" s="31">
        <v>0.3576388888888889</v>
      </c>
      <c r="G367" s="31">
        <v>0.3576388888888889</v>
      </c>
      <c r="H367" s="30" t="s">
        <v>38</v>
      </c>
      <c r="I367" s="31">
        <v>0.30625000000000002</v>
      </c>
      <c r="J367" s="30" t="s">
        <v>38</v>
      </c>
      <c r="K367" s="31">
        <v>0.35069444444444442</v>
      </c>
      <c r="L367" s="28" t="s">
        <v>645</v>
      </c>
      <c r="M367" s="31">
        <v>0.31527777777777777</v>
      </c>
      <c r="N367" s="31">
        <v>0.35069444444444442</v>
      </c>
      <c r="O367" s="31">
        <v>4.4444444444444446E-2</v>
      </c>
      <c r="P367" s="39">
        <v>19.2</v>
      </c>
      <c r="Q367" s="31">
        <v>6.1805555555555558E-2</v>
      </c>
      <c r="W367" s="30" t="s">
        <v>185</v>
      </c>
      <c r="X367"/>
    </row>
    <row r="368" spans="2:24">
      <c r="B368" s="44" t="s">
        <v>390</v>
      </c>
      <c r="C368" s="46"/>
      <c r="D368" s="31">
        <v>0.2986111111111111</v>
      </c>
      <c r="E368" s="31">
        <v>0.2986111111111111</v>
      </c>
      <c r="F368" s="31">
        <v>0.36041666666666666</v>
      </c>
      <c r="G368" s="31">
        <v>0.36041666666666666</v>
      </c>
      <c r="H368" s="30" t="s">
        <v>38</v>
      </c>
      <c r="I368" s="31">
        <v>0.30902777777777779</v>
      </c>
      <c r="J368" s="30" t="s">
        <v>38</v>
      </c>
      <c r="K368" s="31">
        <v>0.35347222222222224</v>
      </c>
      <c r="L368" s="28" t="s">
        <v>646</v>
      </c>
      <c r="M368" s="31">
        <v>0.31805555555555554</v>
      </c>
      <c r="N368" s="31">
        <v>0.35347222222222224</v>
      </c>
      <c r="O368" s="31">
        <v>4.4444444444444446E-2</v>
      </c>
      <c r="P368" s="39">
        <v>19.2</v>
      </c>
      <c r="Q368" s="31">
        <v>6.1805555555555558E-2</v>
      </c>
      <c r="W368" s="30" t="s">
        <v>185</v>
      </c>
      <c r="X368"/>
    </row>
    <row r="369" spans="2:29">
      <c r="B369" s="44"/>
      <c r="H369" s="30"/>
      <c r="I369" s="38"/>
      <c r="J369" s="30"/>
      <c r="K369" s="31"/>
      <c r="L369" s="28"/>
      <c r="M369" s="31"/>
      <c r="N369" s="38"/>
      <c r="O369" s="31"/>
      <c r="P369" s="39"/>
      <c r="Q369" s="36"/>
      <c r="U369" s="36"/>
      <c r="V369" s="36"/>
      <c r="W369" s="30"/>
      <c r="X369"/>
    </row>
    <row r="370" spans="2:29">
      <c r="B370" s="44" t="s">
        <v>682</v>
      </c>
      <c r="C370" s="45"/>
      <c r="D370" s="31">
        <v>0.3972222222222222</v>
      </c>
      <c r="E370" s="31">
        <v>0.3972222222222222</v>
      </c>
      <c r="F370" s="31">
        <v>0.51180555555555551</v>
      </c>
      <c r="G370" s="31">
        <v>0.51180555555555551</v>
      </c>
      <c r="H370" s="30" t="s">
        <v>38</v>
      </c>
      <c r="I370" s="31">
        <v>0.40763888888888888</v>
      </c>
      <c r="J370" s="30" t="s">
        <v>38</v>
      </c>
      <c r="K370" s="31">
        <v>0.50486111111111109</v>
      </c>
      <c r="L370" s="28" t="s">
        <v>678</v>
      </c>
      <c r="M370" s="31">
        <v>0.41666666666666669</v>
      </c>
      <c r="N370" s="31">
        <v>0.49791666666666667</v>
      </c>
      <c r="O370" s="31">
        <v>9.7222222222222224E-2</v>
      </c>
      <c r="P370" s="39">
        <v>25.2</v>
      </c>
      <c r="Q370" s="31">
        <v>9.7222222222222224E-2</v>
      </c>
      <c r="W370" s="30" t="s">
        <v>185</v>
      </c>
      <c r="X370"/>
    </row>
    <row r="371" spans="2:29">
      <c r="B371" s="44" t="s">
        <v>683</v>
      </c>
      <c r="C371" s="45"/>
      <c r="D371" s="31">
        <v>0.56736111111111109</v>
      </c>
      <c r="E371" s="31">
        <v>0.56736111111111109</v>
      </c>
      <c r="F371" s="31">
        <v>0.67847222222222225</v>
      </c>
      <c r="G371" s="31">
        <v>0.67847222222222225</v>
      </c>
      <c r="H371" s="30" t="s">
        <v>38</v>
      </c>
      <c r="I371" s="31">
        <v>0.57430555555555551</v>
      </c>
      <c r="J371" s="30" t="s">
        <v>38</v>
      </c>
      <c r="K371" s="31">
        <v>0.67152777777777772</v>
      </c>
      <c r="L371" s="28" t="s">
        <v>678</v>
      </c>
      <c r="M371" s="31">
        <v>0.58333333333333337</v>
      </c>
      <c r="N371" s="31">
        <v>0.6645833333333333</v>
      </c>
      <c r="O371" s="31">
        <v>9.7222222222222224E-2</v>
      </c>
      <c r="P371" s="39">
        <v>25.2</v>
      </c>
      <c r="Q371" s="31">
        <v>9.7222222222222224E-2</v>
      </c>
      <c r="W371" s="30" t="s">
        <v>185</v>
      </c>
      <c r="X371"/>
    </row>
    <row r="372" spans="2:29">
      <c r="B372" s="44" t="s">
        <v>684</v>
      </c>
      <c r="C372" s="45"/>
      <c r="D372" s="31">
        <v>0.73402777777777772</v>
      </c>
      <c r="E372" s="31">
        <v>0.73402777777777772</v>
      </c>
      <c r="F372" s="31">
        <v>0.84513888888888888</v>
      </c>
      <c r="G372" s="31">
        <v>0.84513888888888888</v>
      </c>
      <c r="H372" s="30" t="s">
        <v>38</v>
      </c>
      <c r="I372" s="31">
        <v>0.74097222222222225</v>
      </c>
      <c r="J372" s="30" t="s">
        <v>38</v>
      </c>
      <c r="K372" s="31">
        <v>0.83819444444444446</v>
      </c>
      <c r="L372" s="28" t="s">
        <v>678</v>
      </c>
      <c r="M372" s="31">
        <v>0.75</v>
      </c>
      <c r="N372" s="31">
        <v>0.83125000000000004</v>
      </c>
      <c r="O372" s="31">
        <v>9.7222222222222224E-2</v>
      </c>
      <c r="P372" s="39">
        <v>25.2</v>
      </c>
      <c r="Q372" s="31">
        <v>9.7222222222222224E-2</v>
      </c>
      <c r="W372" s="30" t="s">
        <v>185</v>
      </c>
      <c r="X372"/>
    </row>
    <row r="373" spans="2:29">
      <c r="B373" s="44" t="s">
        <v>679</v>
      </c>
      <c r="C373" s="46"/>
      <c r="D373" s="31">
        <v>0.3972222222222222</v>
      </c>
      <c r="E373" s="31">
        <v>0.3972222222222222</v>
      </c>
      <c r="F373" s="31">
        <v>0.84513888888888888</v>
      </c>
      <c r="G373" s="31">
        <v>0.84513888888888888</v>
      </c>
      <c r="H373" s="30" t="s">
        <v>38</v>
      </c>
      <c r="I373" s="31">
        <v>0.40763888888888888</v>
      </c>
      <c r="J373" s="30" t="s">
        <v>38</v>
      </c>
      <c r="K373" s="31">
        <v>0.83819444444444446</v>
      </c>
      <c r="L373" s="28" t="s">
        <v>678</v>
      </c>
      <c r="M373" s="31">
        <v>0.41666666666666669</v>
      </c>
      <c r="N373" s="31">
        <v>0.83125000000000004</v>
      </c>
      <c r="O373" s="31">
        <v>0.29166666666666669</v>
      </c>
      <c r="P373" s="39">
        <v>75.599999999999994</v>
      </c>
      <c r="Q373" s="31">
        <v>0.30902777777777779</v>
      </c>
      <c r="W373" s="30" t="s">
        <v>185</v>
      </c>
      <c r="X373"/>
    </row>
    <row r="374" spans="2:29">
      <c r="B374" s="44" t="s">
        <v>685</v>
      </c>
      <c r="C374" s="45"/>
      <c r="D374" s="31">
        <v>0.48055555555555557</v>
      </c>
      <c r="E374" s="31">
        <v>0.48055555555555557</v>
      </c>
      <c r="F374" s="31">
        <v>0.59513888888888888</v>
      </c>
      <c r="G374" s="31">
        <v>0.59513888888888888</v>
      </c>
      <c r="H374" s="30" t="s">
        <v>38</v>
      </c>
      <c r="I374" s="31">
        <v>0.4909722222222222</v>
      </c>
      <c r="J374" s="30" t="s">
        <v>38</v>
      </c>
      <c r="K374" s="31">
        <v>0.58819444444444446</v>
      </c>
      <c r="L374" s="28" t="s">
        <v>680</v>
      </c>
      <c r="M374" s="31">
        <v>0.5</v>
      </c>
      <c r="N374" s="31">
        <v>0.58125000000000004</v>
      </c>
      <c r="O374" s="31">
        <v>9.7222222222222224E-2</v>
      </c>
      <c r="P374" s="39">
        <v>25.2</v>
      </c>
      <c r="Q374" s="31">
        <v>9.7222222222222224E-2</v>
      </c>
      <c r="W374" s="30" t="s">
        <v>185</v>
      </c>
      <c r="X374"/>
    </row>
    <row r="375" spans="2:29">
      <c r="B375" s="44" t="s">
        <v>686</v>
      </c>
      <c r="C375" s="45"/>
      <c r="D375" s="31">
        <v>0.65069444444444446</v>
      </c>
      <c r="E375" s="31">
        <v>0.65069444444444446</v>
      </c>
      <c r="F375" s="31">
        <v>0.76180555555555551</v>
      </c>
      <c r="G375" s="31">
        <v>0.76180555555555551</v>
      </c>
      <c r="H375" s="30" t="s">
        <v>38</v>
      </c>
      <c r="I375" s="31">
        <v>0.65763888888888888</v>
      </c>
      <c r="J375" s="30" t="s">
        <v>38</v>
      </c>
      <c r="K375" s="31">
        <v>0.75486111111111109</v>
      </c>
      <c r="L375" s="28" t="s">
        <v>680</v>
      </c>
      <c r="M375" s="31">
        <v>0.66666666666666663</v>
      </c>
      <c r="N375" s="31">
        <v>0.74791666666666667</v>
      </c>
      <c r="O375" s="31">
        <v>9.7222222222222224E-2</v>
      </c>
      <c r="P375" s="39">
        <v>25.2</v>
      </c>
      <c r="Q375" s="31">
        <v>9.7222222222222224E-2</v>
      </c>
      <c r="W375" s="30" t="s">
        <v>185</v>
      </c>
      <c r="X375"/>
    </row>
    <row r="376" spans="2:29">
      <c r="B376" s="44" t="s">
        <v>681</v>
      </c>
      <c r="C376" s="46"/>
      <c r="D376" s="31">
        <v>0.48055555555555557</v>
      </c>
      <c r="E376" s="31">
        <v>0.48055555555555557</v>
      </c>
      <c r="F376" s="31">
        <v>0.76180555555555551</v>
      </c>
      <c r="G376" s="31">
        <v>0.76180555555555551</v>
      </c>
      <c r="H376" s="30" t="s">
        <v>38</v>
      </c>
      <c r="I376" s="31">
        <v>0.4909722222222222</v>
      </c>
      <c r="J376" s="30" t="s">
        <v>38</v>
      </c>
      <c r="K376" s="31">
        <v>0.75486111111111109</v>
      </c>
      <c r="L376" s="28" t="s">
        <v>680</v>
      </c>
      <c r="M376" s="31">
        <v>0.5</v>
      </c>
      <c r="N376" s="31">
        <v>0.74791666666666667</v>
      </c>
      <c r="O376" s="31">
        <v>0.19444444444444445</v>
      </c>
      <c r="P376" s="39">
        <v>50.4</v>
      </c>
      <c r="Q376" s="31">
        <v>0.21180555555555555</v>
      </c>
      <c r="W376" s="30" t="s">
        <v>185</v>
      </c>
      <c r="X376"/>
    </row>
    <row r="377" spans="2:29">
      <c r="B377" s="44"/>
      <c r="H377" s="30"/>
      <c r="I377" s="38"/>
      <c r="J377" s="30"/>
      <c r="K377" s="31"/>
      <c r="L377" s="28"/>
      <c r="M377" s="31"/>
      <c r="N377" s="38"/>
      <c r="O377" s="31"/>
      <c r="P377" s="39"/>
      <c r="Q377" s="36"/>
      <c r="U377" s="36"/>
      <c r="V377" s="36"/>
      <c r="W377" s="30"/>
      <c r="X377"/>
    </row>
    <row r="378" spans="2:29">
      <c r="B378" s="44" t="s">
        <v>437</v>
      </c>
      <c r="C378" s="26"/>
      <c r="D378" s="36">
        <v>0.31388888888888888</v>
      </c>
      <c r="E378" s="36">
        <v>0.31388888888888888</v>
      </c>
      <c r="F378" s="36">
        <v>0.38263888888888892</v>
      </c>
      <c r="G378" s="36">
        <v>0.38263888888888892</v>
      </c>
      <c r="H378" s="30" t="s">
        <v>38</v>
      </c>
      <c r="I378" s="38">
        <v>0.32430555555555557</v>
      </c>
      <c r="J378" s="30" t="s">
        <v>38</v>
      </c>
      <c r="K378" s="31">
        <v>0.3756944444444445</v>
      </c>
      <c r="L378" s="28" t="s">
        <v>241</v>
      </c>
      <c r="M378" s="31">
        <v>0.33333333333333331</v>
      </c>
      <c r="N378" s="38">
        <v>0.36875000000000002</v>
      </c>
      <c r="O378" s="31">
        <v>4.4444444444444446E-2</v>
      </c>
      <c r="P378" s="39">
        <v>19.2</v>
      </c>
      <c r="Q378" s="36">
        <v>6.1805555555555558E-2</v>
      </c>
      <c r="U378" s="36"/>
      <c r="V378" s="36"/>
      <c r="W378" s="30" t="s">
        <v>185</v>
      </c>
      <c r="X378"/>
    </row>
    <row r="379" spans="2:29">
      <c r="B379" s="44" t="s">
        <v>438</v>
      </c>
      <c r="C379" s="26"/>
      <c r="D379" s="36">
        <v>0.64374999999999993</v>
      </c>
      <c r="E379" s="36">
        <v>0.64374999999999993</v>
      </c>
      <c r="F379" s="36">
        <v>0.70208333333333339</v>
      </c>
      <c r="G379" s="36">
        <v>0.70208333333333339</v>
      </c>
      <c r="H379" s="30" t="s">
        <v>38</v>
      </c>
      <c r="I379" s="38">
        <v>0.65069444444444446</v>
      </c>
      <c r="J379" s="30" t="s">
        <v>38</v>
      </c>
      <c r="K379" s="31">
        <v>0.69513888888888886</v>
      </c>
      <c r="L379" s="28" t="s">
        <v>170</v>
      </c>
      <c r="M379" s="31">
        <v>0.67013888888888884</v>
      </c>
      <c r="N379" s="38">
        <v>0.68819444444444444</v>
      </c>
      <c r="O379" s="31">
        <v>4.4444444444444446E-2</v>
      </c>
      <c r="P379" s="39">
        <v>19.600000000000001</v>
      </c>
      <c r="Q379" s="36">
        <v>5.8333333333333327E-2</v>
      </c>
      <c r="U379" s="36"/>
      <c r="V379" s="36"/>
      <c r="W379" s="30" t="s">
        <v>185</v>
      </c>
      <c r="X379"/>
    </row>
    <row r="380" spans="2:29">
      <c r="B380" s="44" t="s">
        <v>439</v>
      </c>
      <c r="C380" s="26"/>
      <c r="D380" s="36">
        <v>0.6958333333333333</v>
      </c>
      <c r="E380" s="36">
        <v>1.9458333333333335</v>
      </c>
      <c r="F380" s="36">
        <v>0.75416666666666676</v>
      </c>
      <c r="G380" s="36">
        <v>0.75416666666666676</v>
      </c>
      <c r="H380" s="30" t="s">
        <v>38</v>
      </c>
      <c r="I380" s="38">
        <v>0.70277777777777783</v>
      </c>
      <c r="J380" s="30" t="s">
        <v>38</v>
      </c>
      <c r="K380" s="31">
        <v>0.74722222222222223</v>
      </c>
      <c r="L380" s="28" t="s">
        <v>170</v>
      </c>
      <c r="M380" s="31">
        <v>0.72222222222222221</v>
      </c>
      <c r="N380" s="38">
        <v>0.7402777777777777</v>
      </c>
      <c r="O380" s="31">
        <v>4.4444444444444446E-2</v>
      </c>
      <c r="P380" s="39">
        <v>19.600000000000001</v>
      </c>
      <c r="Q380" s="36">
        <v>5.8333333333333327E-2</v>
      </c>
      <c r="U380" s="36"/>
      <c r="V380" s="36"/>
      <c r="W380" s="30" t="s">
        <v>185</v>
      </c>
      <c r="X380"/>
    </row>
    <row r="381" spans="2:29">
      <c r="B381" s="44" t="s">
        <v>440</v>
      </c>
      <c r="C381" s="26"/>
      <c r="D381" s="36">
        <v>0.64374999999999993</v>
      </c>
      <c r="E381" s="36">
        <v>0.64374999999999993</v>
      </c>
      <c r="F381" s="36">
        <v>0.75416666666666676</v>
      </c>
      <c r="G381" s="36">
        <v>0.33749999999999997</v>
      </c>
      <c r="H381" s="30" t="s">
        <v>38</v>
      </c>
      <c r="I381" s="38">
        <v>0.65069444444444446</v>
      </c>
      <c r="J381" s="30" t="s">
        <v>38</v>
      </c>
      <c r="K381" s="31">
        <v>0.74722222222222223</v>
      </c>
      <c r="L381" s="28" t="s">
        <v>170</v>
      </c>
      <c r="M381" s="31">
        <v>0.67013888888888884</v>
      </c>
      <c r="N381" s="38">
        <v>0.7402777777777777</v>
      </c>
      <c r="O381" s="31">
        <v>8.8888888888888892E-2</v>
      </c>
      <c r="P381" s="39">
        <v>39.200000000000003</v>
      </c>
      <c r="Q381" s="36">
        <v>0.11666666666666667</v>
      </c>
      <c r="U381" s="36"/>
      <c r="V381" s="36"/>
      <c r="W381" s="30" t="s">
        <v>185</v>
      </c>
    </row>
    <row r="382" spans="2:29">
      <c r="B382" s="44" t="s">
        <v>448</v>
      </c>
      <c r="C382" s="26"/>
      <c r="D382" s="36">
        <v>0.65416666666666667</v>
      </c>
      <c r="E382" s="36">
        <v>0.65416666666666667</v>
      </c>
      <c r="F382" s="36">
        <v>0.75416666666666676</v>
      </c>
      <c r="G382" s="36">
        <v>0.33749999999999997</v>
      </c>
      <c r="H382" s="30" t="s">
        <v>38</v>
      </c>
      <c r="I382" s="38">
        <v>0.66111111111111109</v>
      </c>
      <c r="J382" s="30" t="s">
        <v>38</v>
      </c>
      <c r="K382" s="31">
        <v>0.74722222222222223</v>
      </c>
      <c r="L382" s="28" t="s">
        <v>170</v>
      </c>
      <c r="M382" s="31">
        <v>0.68055555555555547</v>
      </c>
      <c r="N382" s="38">
        <v>0.7402777777777777</v>
      </c>
      <c r="O382" s="31">
        <v>8.8888888888888892E-2</v>
      </c>
      <c r="P382" s="39">
        <v>39.200000000000003</v>
      </c>
      <c r="Q382" s="36">
        <v>0.11666666666666667</v>
      </c>
      <c r="U382" s="36"/>
      <c r="V382" s="36"/>
      <c r="W382" s="30" t="s">
        <v>185</v>
      </c>
      <c r="X382" t="s">
        <v>228</v>
      </c>
      <c r="Y382" t="s">
        <v>229</v>
      </c>
      <c r="Z382" t="s">
        <v>230</v>
      </c>
      <c r="AA382" t="s">
        <v>40</v>
      </c>
      <c r="AC382" t="s">
        <v>391</v>
      </c>
    </row>
    <row r="383" spans="2:29">
      <c r="B383" s="135" t="s">
        <v>441</v>
      </c>
      <c r="D383" s="37" t="e">
        <f ca="1">M383-$X383</f>
        <v>#NAME?</v>
      </c>
      <c r="E383" s="37" t="e">
        <f ca="1">M383-$X383</f>
        <v>#NAME?</v>
      </c>
      <c r="F383" s="36" t="e">
        <f t="shared" ref="F383:F384" ca="1" si="0">N383+Y383</f>
        <v>#NAME?</v>
      </c>
      <c r="G383" s="36" t="e">
        <f t="shared" ref="G383:G384" ca="1" si="1">N383+Y383</f>
        <v>#NAME?</v>
      </c>
      <c r="H383" s="30" t="s">
        <v>38</v>
      </c>
      <c r="I383" s="37" t="e">
        <f t="shared" ref="I383:I384" ca="1" si="2">D383+Z383</f>
        <v>#NAME?</v>
      </c>
      <c r="J383" s="30" t="s">
        <v>38</v>
      </c>
      <c r="K383" s="36" t="e">
        <f ca="1">N383+AC383</f>
        <v>#NAME?</v>
      </c>
      <c r="L383" s="15" t="s">
        <v>241</v>
      </c>
      <c r="M383" s="37"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185</v>
      </c>
      <c r="X383" s="37">
        <v>2.6388888888888889E-2</v>
      </c>
      <c r="Y383" s="37">
        <v>1.3888888888888888E-2</v>
      </c>
      <c r="Z383" s="37">
        <v>1.9444444444444445E-2</v>
      </c>
      <c r="AA383" s="37">
        <v>1.8055555555555557E-2</v>
      </c>
      <c r="AC383" s="37">
        <v>6.9444444444444441E-3</v>
      </c>
    </row>
    <row r="384" spans="2:29">
      <c r="B384" s="135" t="s">
        <v>442</v>
      </c>
      <c r="D384" s="37" t="e">
        <f ca="1">M384-$X384</f>
        <v>#NAME?</v>
      </c>
      <c r="E384" s="37" t="e">
        <f ca="1">M384-$X384</f>
        <v>#NAME?</v>
      </c>
      <c r="F384" s="36" t="e">
        <f t="shared" ca="1" si="0"/>
        <v>#NAME?</v>
      </c>
      <c r="G384" s="36" t="e">
        <f t="shared" ca="1" si="1"/>
        <v>#NAME?</v>
      </c>
      <c r="H384" s="30" t="s">
        <v>38</v>
      </c>
      <c r="I384" s="37" t="e">
        <f t="shared" ca="1" si="2"/>
        <v>#NAME?</v>
      </c>
      <c r="J384" s="30" t="s">
        <v>38</v>
      </c>
      <c r="K384" s="36" t="e">
        <f ca="1">N384+AC384</f>
        <v>#NAME?</v>
      </c>
      <c r="L384" s="15" t="s">
        <v>241</v>
      </c>
      <c r="M384" s="37"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185</v>
      </c>
      <c r="X384" s="37">
        <v>2.6388888888888889E-2</v>
      </c>
      <c r="Y384" s="37">
        <v>1.3888888888888888E-2</v>
      </c>
      <c r="Z384" s="37">
        <v>1.9444444444444445E-2</v>
      </c>
      <c r="AA384" s="37">
        <v>1.8055555555555557E-2</v>
      </c>
      <c r="AC384" s="37">
        <v>6.9444444444444441E-3</v>
      </c>
    </row>
    <row r="385" spans="2:29">
      <c r="B385" s="135"/>
      <c r="D385" s="37"/>
      <c r="E385" s="37"/>
      <c r="H385" s="30"/>
      <c r="J385" s="30"/>
      <c r="M385" s="37"/>
      <c r="P385"/>
      <c r="Q385" s="36"/>
      <c r="R385" s="37"/>
      <c r="S385"/>
      <c r="T385"/>
      <c r="U385" s="37"/>
      <c r="V385" s="36"/>
      <c r="W385" s="30"/>
      <c r="X385" s="37"/>
      <c r="Y385" s="37"/>
      <c r="Z385" s="37"/>
      <c r="AA385" s="37"/>
      <c r="AC385" s="37"/>
    </row>
    <row r="386" spans="2:29">
      <c r="B386" s="44" t="s">
        <v>443</v>
      </c>
      <c r="D386" s="37">
        <v>0.73124999999999996</v>
      </c>
      <c r="E386" s="37">
        <v>0.73124999999999996</v>
      </c>
      <c r="F386" s="36">
        <v>0.90208333333333335</v>
      </c>
      <c r="G386" s="36">
        <v>0.90208333333333335</v>
      </c>
      <c r="H386" s="30" t="s">
        <v>38</v>
      </c>
      <c r="I386" s="37">
        <v>0.73819444444444449</v>
      </c>
      <c r="J386" s="30" t="s">
        <v>38</v>
      </c>
      <c r="K386" s="36">
        <v>0.89513888888888893</v>
      </c>
      <c r="L386" s="15" t="s">
        <v>164</v>
      </c>
      <c r="M386" s="36">
        <v>0.75069444444444444</v>
      </c>
      <c r="N386" s="37">
        <v>0.88472222222222219</v>
      </c>
      <c r="O386" s="37">
        <v>8.1250000000000003E-2</v>
      </c>
      <c r="P386">
        <v>43.2</v>
      </c>
      <c r="Q386" s="36">
        <v>0.11805555555555555</v>
      </c>
      <c r="R386" s="37"/>
      <c r="S386"/>
      <c r="T386"/>
      <c r="U386" s="37"/>
      <c r="V386" s="36"/>
      <c r="W386" s="30" t="s">
        <v>185</v>
      </c>
      <c r="X386" s="37"/>
      <c r="Y386" s="37"/>
      <c r="Z386" s="37"/>
      <c r="AA386" s="37"/>
      <c r="AC386" s="37"/>
    </row>
    <row r="387" spans="2:29">
      <c r="B387" s="44"/>
      <c r="C387" s="26"/>
      <c r="H387" s="30"/>
      <c r="I387" s="38"/>
      <c r="J387" s="30"/>
      <c r="K387" s="31"/>
      <c r="L387" s="28"/>
      <c r="M387" s="31"/>
      <c r="N387" s="38"/>
      <c r="O387" s="31"/>
      <c r="P387" s="39"/>
      <c r="Q387" s="36"/>
      <c r="U387" s="36"/>
      <c r="V387" s="36"/>
      <c r="W387" s="30"/>
      <c r="X387"/>
    </row>
    <row r="388" spans="2:29">
      <c r="B388" s="44" t="s">
        <v>392</v>
      </c>
      <c r="C388" s="26"/>
      <c r="D388" s="36">
        <v>0.25</v>
      </c>
      <c r="E388" s="36">
        <v>0.25</v>
      </c>
      <c r="F388" s="36" t="s">
        <v>227</v>
      </c>
      <c r="G388" s="36" t="s">
        <v>227</v>
      </c>
      <c r="H388" s="30" t="s">
        <v>38</v>
      </c>
      <c r="I388" s="36">
        <v>0.25</v>
      </c>
      <c r="J388" s="30" t="s">
        <v>38</v>
      </c>
      <c r="K388" s="31" t="s">
        <v>227</v>
      </c>
      <c r="L388" s="29" t="s">
        <v>393</v>
      </c>
      <c r="M388" s="36">
        <v>0.25</v>
      </c>
      <c r="N388" s="38" t="s">
        <v>227</v>
      </c>
      <c r="O388" s="31">
        <v>0</v>
      </c>
      <c r="P388" s="29" t="s">
        <v>121</v>
      </c>
      <c r="Q388" s="31">
        <v>0</v>
      </c>
      <c r="W388" s="30" t="s">
        <v>123</v>
      </c>
      <c r="X388"/>
    </row>
    <row r="389" spans="2:29">
      <c r="B389" s="44" t="s">
        <v>394</v>
      </c>
      <c r="C389" s="26"/>
      <c r="D389" s="36">
        <v>0.26041666666666669</v>
      </c>
      <c r="E389" s="36">
        <v>0.26041666666666669</v>
      </c>
      <c r="F389" s="36" t="s">
        <v>227</v>
      </c>
      <c r="G389" s="36" t="s">
        <v>227</v>
      </c>
      <c r="H389" s="30" t="s">
        <v>38</v>
      </c>
      <c r="I389" s="36">
        <v>0.26041666666666669</v>
      </c>
      <c r="J389" s="30" t="s">
        <v>38</v>
      </c>
      <c r="K389" s="31" t="s">
        <v>227</v>
      </c>
      <c r="L389" s="29" t="s">
        <v>393</v>
      </c>
      <c r="M389" s="36">
        <v>0.26041666666666669</v>
      </c>
      <c r="N389" s="38" t="s">
        <v>227</v>
      </c>
      <c r="O389" s="29" t="s">
        <v>120</v>
      </c>
      <c r="P389" s="29" t="s">
        <v>121</v>
      </c>
      <c r="Q389" s="29" t="s">
        <v>120</v>
      </c>
      <c r="W389" s="30" t="s">
        <v>124</v>
      </c>
      <c r="X389"/>
    </row>
    <row r="390" spans="2:29">
      <c r="B390" s="44" t="s">
        <v>395</v>
      </c>
      <c r="C390" s="26"/>
      <c r="D390" s="36" t="s">
        <v>227</v>
      </c>
      <c r="E390" s="36" t="s">
        <v>227</v>
      </c>
      <c r="F390" s="36">
        <v>0.79166666666666663</v>
      </c>
      <c r="G390" s="36">
        <v>0.79166666666666663</v>
      </c>
      <c r="H390" s="30" t="s">
        <v>38</v>
      </c>
      <c r="I390" s="38" t="s">
        <v>227</v>
      </c>
      <c r="J390" s="30" t="s">
        <v>38</v>
      </c>
      <c r="K390" s="36">
        <v>0.79166666666666663</v>
      </c>
      <c r="L390" s="29" t="s">
        <v>393</v>
      </c>
      <c r="M390" s="31" t="s">
        <v>227</v>
      </c>
      <c r="N390" s="36">
        <v>0.79166666666666663</v>
      </c>
      <c r="O390" s="29" t="s">
        <v>120</v>
      </c>
      <c r="P390" s="29" t="s">
        <v>121</v>
      </c>
      <c r="Q390" s="29" t="s">
        <v>120</v>
      </c>
      <c r="W390" s="30" t="s">
        <v>125</v>
      </c>
      <c r="X390"/>
    </row>
    <row r="391" spans="2:29">
      <c r="B391" s="44" t="s">
        <v>396</v>
      </c>
      <c r="C391" s="26"/>
      <c r="D391" s="36" t="s">
        <v>227</v>
      </c>
      <c r="E391" s="36" t="s">
        <v>227</v>
      </c>
      <c r="F391" s="36">
        <v>0.875</v>
      </c>
      <c r="G391" s="36">
        <v>0.875</v>
      </c>
      <c r="H391" s="30" t="s">
        <v>38</v>
      </c>
      <c r="I391" s="38" t="s">
        <v>227</v>
      </c>
      <c r="J391" s="30" t="s">
        <v>38</v>
      </c>
      <c r="K391" s="36">
        <v>0.875</v>
      </c>
      <c r="L391" s="29" t="s">
        <v>393</v>
      </c>
      <c r="M391" s="31" t="s">
        <v>227</v>
      </c>
      <c r="N391" s="36">
        <v>0.875</v>
      </c>
      <c r="O391" s="29" t="s">
        <v>120</v>
      </c>
      <c r="P391" s="29" t="s">
        <v>121</v>
      </c>
      <c r="Q391" s="29" t="s">
        <v>120</v>
      </c>
      <c r="W391" s="30" t="s">
        <v>126</v>
      </c>
      <c r="X391"/>
    </row>
    <row r="392" spans="2:29">
      <c r="B392" s="44"/>
      <c r="C392" s="26"/>
      <c r="H392" s="30"/>
      <c r="I392" s="38"/>
      <c r="J392" s="30"/>
      <c r="L392" s="29"/>
      <c r="M392" s="31"/>
      <c r="N392" s="36"/>
      <c r="O392" s="29"/>
      <c r="P392" s="29"/>
      <c r="Q392" s="29"/>
      <c r="W392" s="30"/>
      <c r="X392"/>
    </row>
    <row r="393" spans="2:29">
      <c r="B393" s="44" t="s">
        <v>397</v>
      </c>
      <c r="C393" s="46"/>
      <c r="D393" s="31">
        <v>0.30486111111111114</v>
      </c>
      <c r="E393" s="31">
        <v>0.30486111111111114</v>
      </c>
      <c r="F393" s="31">
        <v>0.82986111111111116</v>
      </c>
      <c r="G393" s="31">
        <v>0.82986111111111116</v>
      </c>
      <c r="H393" s="30" t="s">
        <v>38</v>
      </c>
      <c r="I393" s="31">
        <v>0.31527777777777777</v>
      </c>
      <c r="J393" s="30" t="s">
        <v>38</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185</v>
      </c>
      <c r="X393"/>
    </row>
    <row r="394" spans="2:29">
      <c r="B394" s="44" t="s">
        <v>398</v>
      </c>
      <c r="C394" s="46"/>
      <c r="D394" s="31" t="str">
        <f ca="1">IF($A$4="平日","9:11","9:39")</f>
        <v>9:11</v>
      </c>
      <c r="E394" s="31" t="str">
        <f ca="1">IF($A$4="平日","9:11","9:39")</f>
        <v>9:11</v>
      </c>
      <c r="F394" s="31" t="str">
        <f ca="1">IF($A$4="平日","21:22","20:05")</f>
        <v>21:22</v>
      </c>
      <c r="G394" s="31" t="str">
        <f ca="1">IF($A$4="平日","21:22","20:05")</f>
        <v>21:22</v>
      </c>
      <c r="H394" s="30" t="s">
        <v>38</v>
      </c>
      <c r="I394" s="31" t="str">
        <f ca="1">IF($A$4="平日","9:16","9:44")</f>
        <v>9:16</v>
      </c>
      <c r="J394" s="30" t="s">
        <v>38</v>
      </c>
      <c r="K394" s="31" t="str">
        <f ca="1">IF($A$4="平日","21:12","19:55")</f>
        <v>21:12</v>
      </c>
      <c r="L394" s="30" t="str">
        <f ca="1">IF($A$4="平日","510  1037     509","1037      509")</f>
        <v>510  1037     509</v>
      </c>
      <c r="M394" s="31" t="str">
        <f ca="1">IF($A$4="平日","9:40","10:10")</f>
        <v>9:40</v>
      </c>
      <c r="N394" s="31" t="str">
        <f ca="1">IF($A$4="平日","21:02","19:45")</f>
        <v>21:02</v>
      </c>
      <c r="O394" s="31" t="str">
        <f ca="1">IF($A$4="平日","7:25","6:25")</f>
        <v>7:25</v>
      </c>
      <c r="P394" s="39">
        <f ca="1">IF($A$4="平日",93.1,77.8)</f>
        <v>93.1</v>
      </c>
      <c r="Q394" s="31" t="str">
        <f ca="1">IF($A$4="平日","8:16","7:21")</f>
        <v>8:16</v>
      </c>
      <c r="R394" s="37"/>
      <c r="S394"/>
      <c r="T394"/>
      <c r="U394"/>
      <c r="V394"/>
      <c r="W394" s="30" t="s">
        <v>185</v>
      </c>
      <c r="X394"/>
    </row>
    <row r="395" spans="2:29">
      <c r="B395" s="44" t="s">
        <v>399</v>
      </c>
      <c r="C395" s="46"/>
      <c r="D395" s="31" t="str">
        <f ca="1">IF($A$4="平日","7:06","9:02")</f>
        <v>7:06</v>
      </c>
      <c r="E395" s="31" t="str">
        <f ca="1">IF($A$4="平日","7:06","9:02")</f>
        <v>7:06</v>
      </c>
      <c r="F395" s="31" t="str">
        <f ca="1">IF($A$4="平日","19:43","19:01")</f>
        <v>19:43</v>
      </c>
      <c r="G395" s="31" t="str">
        <f ca="1">IF($A$4="平日","19:43","19:01")</f>
        <v>19:43</v>
      </c>
      <c r="H395" s="30" t="s">
        <v>38</v>
      </c>
      <c r="I395" s="31" t="str">
        <f ca="1">IF($A$4="平日","7:21","9:17")</f>
        <v>7:21</v>
      </c>
      <c r="J395" s="30" t="s">
        <v>38</v>
      </c>
      <c r="K395" s="31" t="str">
        <f ca="1">IF($A$4="平日","19:33","19:01")</f>
        <v>19:33</v>
      </c>
      <c r="L395" s="30" t="str">
        <f ca="1">IF($A$4="平日","462","509     510")</f>
        <v>462</v>
      </c>
      <c r="M395" s="31" t="str">
        <f ca="1">IF($A$4="平日","7:44","9:30")</f>
        <v>7:44</v>
      </c>
      <c r="N395" s="31" t="str">
        <f ca="1">IF($A$4="平日","19:13","18:30")</f>
        <v>19:13</v>
      </c>
      <c r="O395" s="31" t="str">
        <f ca="1">IF($A$4="平日","5:45","6:20")</f>
        <v>5:45</v>
      </c>
      <c r="P395" s="39">
        <f ca="1">IF($A$4="平日",108,78)</f>
        <v>108</v>
      </c>
      <c r="Q395" s="31" t="str">
        <f ca="1">IF($A$4="平日","6:36","7:19")</f>
        <v>6:36</v>
      </c>
      <c r="R395" s="37"/>
      <c r="S395"/>
      <c r="T395"/>
      <c r="U395"/>
      <c r="V395"/>
      <c r="W395" s="30" t="s">
        <v>185</v>
      </c>
      <c r="X395"/>
    </row>
    <row r="396" spans="2:29">
      <c r="B396" s="44" t="s">
        <v>400</v>
      </c>
      <c r="C396" s="46"/>
      <c r="D396" s="31" t="str">
        <f ca="1">IF($A$4="平日","6:47","10:26")</f>
        <v>6:47</v>
      </c>
      <c r="E396" s="31" t="str">
        <f ca="1">IF($A$4="平日","6:47","10:26")</f>
        <v>6:47</v>
      </c>
      <c r="F396" s="31" t="str">
        <f ca="1">IF($A$4="平日","19:48","19:48")</f>
        <v>19:48</v>
      </c>
      <c r="G396" s="31" t="str">
        <f ca="1">IF($A$4="平日","19:48","19:48")</f>
        <v>19:48</v>
      </c>
      <c r="H396" s="30" t="s">
        <v>38</v>
      </c>
      <c r="I396" s="31" t="str">
        <f ca="1">IF($A$4="平日","7:02","10:41")</f>
        <v>7:02</v>
      </c>
      <c r="J396" s="30" t="s">
        <v>38</v>
      </c>
      <c r="K396" s="31" t="str">
        <f ca="1">IF($A$4="平日","19:38","19:38")</f>
        <v>19:38</v>
      </c>
      <c r="L396" s="30" t="str">
        <f ca="1">IF($A$4="平日","1055     508","508    507")</f>
        <v>1055     508</v>
      </c>
      <c r="M396" s="31" t="str">
        <f ca="1">IF($A$4="平日","7:35","11:04")</f>
        <v>7:35</v>
      </c>
      <c r="N396" s="31" t="str">
        <f ca="1">IF($A$4="平日","19:08","19:08")</f>
        <v>19:08</v>
      </c>
      <c r="O396" s="31" t="str">
        <f ca="1">IF($A$4="平日","7:26","5:21")</f>
        <v>7:26</v>
      </c>
      <c r="P396" s="39">
        <f ca="1">IF($A$4="平日",115.3,84.9)</f>
        <v>115.3</v>
      </c>
      <c r="Q396" s="31" t="str">
        <f ca="1">IF($A$4="平日","8:29","6:13")</f>
        <v>8:29</v>
      </c>
      <c r="R396" s="37"/>
      <c r="S396"/>
      <c r="T396"/>
      <c r="U396"/>
      <c r="V396"/>
      <c r="W396" s="30" t="s">
        <v>185</v>
      </c>
      <c r="X396"/>
    </row>
    <row r="397" spans="2:29">
      <c r="B397" s="44" t="s">
        <v>401</v>
      </c>
      <c r="C397" s="46"/>
      <c r="D397" s="31" t="str">
        <f ca="1">IF($A$4="平日","6:22","8:22")</f>
        <v>6:22</v>
      </c>
      <c r="E397" s="31" t="str">
        <f ca="1">IF($A$4="平日","6:22","8:22")</f>
        <v>6:22</v>
      </c>
      <c r="F397" s="31" t="str">
        <f ca="1">IF($A$4="平日","17:56","17:56")</f>
        <v>17:56</v>
      </c>
      <c r="G397" s="31" t="str">
        <f ca="1">IF($A$4="平日","17:56","17:56")</f>
        <v>17:56</v>
      </c>
      <c r="H397" s="30" t="s">
        <v>38</v>
      </c>
      <c r="I397" s="31" t="str">
        <f ca="1">IF($A$4="平日","6:37","8:37")</f>
        <v>6:37</v>
      </c>
      <c r="J397" s="30" t="s">
        <v>38</v>
      </c>
      <c r="K397" s="31" t="str">
        <f ca="1">IF($A$4="平日","17:46","17:46")</f>
        <v>17:46</v>
      </c>
      <c r="L397" s="30" t="str">
        <f ca="1">IF($A$4="平日","509     1038     1037","1037     1038")</f>
        <v>509     1038     1037</v>
      </c>
      <c r="M397" s="31" t="str">
        <f ca="1">IF($A$4="平日","6:50","8:50")</f>
        <v>6:50</v>
      </c>
      <c r="N397" s="31" t="str">
        <f ca="1">IF($A$4="平日","17:35","17:45")</f>
        <v>17:35</v>
      </c>
      <c r="O397" s="31" t="str">
        <f ca="1">IF($A$4="平日","7:33","6:20")</f>
        <v>7:33</v>
      </c>
      <c r="P397" s="39">
        <f ca="1">IF($A$4="平日",93,78)</f>
        <v>93</v>
      </c>
      <c r="Q397" s="31" t="str">
        <f ca="1">IF($A$4="平日","8:24","6:54")</f>
        <v>8:24</v>
      </c>
      <c r="R397" s="37"/>
      <c r="S397"/>
      <c r="T397"/>
      <c r="U397"/>
      <c r="V397"/>
      <c r="W397" s="30" t="s">
        <v>185</v>
      </c>
      <c r="X397"/>
    </row>
    <row r="398" spans="2:29">
      <c r="B398" s="103"/>
      <c r="C398" s="26"/>
      <c r="D398" s="31"/>
      <c r="E398" s="31"/>
      <c r="F398" s="31"/>
      <c r="G398" s="31"/>
      <c r="H398" s="30"/>
      <c r="I398" s="31"/>
      <c r="J398" s="30"/>
      <c r="K398" s="31"/>
      <c r="L398" s="30"/>
      <c r="M398" s="31"/>
      <c r="N398" s="31"/>
      <c r="O398" s="31"/>
      <c r="P398" s="39"/>
      <c r="Q398" s="31"/>
      <c r="R398" s="37"/>
      <c r="S398"/>
      <c r="T398"/>
      <c r="U398"/>
      <c r="V398"/>
      <c r="W398" s="30"/>
      <c r="X398"/>
    </row>
    <row r="399" spans="2:29">
      <c r="B399" s="44" t="s">
        <v>402</v>
      </c>
      <c r="C399" s="46"/>
      <c r="D399" s="31" t="str">
        <f ca="1">IF($A$4="平日","6:57","7:08")</f>
        <v>6:57</v>
      </c>
      <c r="E399" s="31" t="str">
        <f ca="1">IF($A$4="平日","6:57","7:08")</f>
        <v>6:57</v>
      </c>
      <c r="F399" s="31" t="str">
        <f ca="1">IF($A$4="平日","20:45","19:35")</f>
        <v>20:45</v>
      </c>
      <c r="G399" s="31" t="str">
        <f ca="1">IF($A$4="平日","20:45","19:35")</f>
        <v>20:45</v>
      </c>
      <c r="H399" s="30" t="s">
        <v>38</v>
      </c>
      <c r="I399" s="31" t="str">
        <f ca="1">IF($A$4="平日","7:12","7:23")</f>
        <v>7:12</v>
      </c>
      <c r="J399" s="30" t="s">
        <v>38</v>
      </c>
      <c r="K399" s="31" t="str">
        <f ca="1">IF($A$4="平日","20:35","19:25")</f>
        <v>20:35</v>
      </c>
      <c r="L399" s="30" t="str">
        <f ca="1">IF($A$4="平日","1037","1060     1588     1050")</f>
        <v>1037</v>
      </c>
      <c r="M399" s="31" t="str">
        <f ca="1">IF($A$4="平日","7:25","7:36")</f>
        <v>7:25</v>
      </c>
      <c r="N399" s="31" t="str">
        <f ca="1">IF($A$4="平日","20:25","19:15")</f>
        <v>20:25</v>
      </c>
      <c r="O399" s="31" t="str">
        <f ca="1">IF($A$4="平日","9:11","7:49")</f>
        <v>9:11</v>
      </c>
      <c r="P399" s="39">
        <f ca="1">IF($A$4="平日",110.9,100.5)</f>
        <v>110.9</v>
      </c>
      <c r="Q399" s="31" t="str">
        <f ca="1">IF($A$4="平日","10:03","8:13")</f>
        <v>10:03</v>
      </c>
      <c r="R399" s="37"/>
      <c r="S399"/>
      <c r="T399"/>
      <c r="U399"/>
      <c r="V399"/>
      <c r="W399" s="30" t="s">
        <v>185</v>
      </c>
      <c r="X399"/>
    </row>
    <row r="400" spans="2:29" ht="14.25" customHeight="1">
      <c r="B400" s="44" t="s">
        <v>403</v>
      </c>
      <c r="C400" s="46"/>
      <c r="D400" s="31" t="str">
        <f ca="1">IF($A$4="平日","8:57","9:12")</f>
        <v>8:57</v>
      </c>
      <c r="E400" s="31" t="str">
        <f ca="1">IF($A$4="平日","8:57","9:12")</f>
        <v>8:57</v>
      </c>
      <c r="F400" s="31" t="str">
        <f ca="1">IF($A$4="平日","20:55","19:30")</f>
        <v>20:55</v>
      </c>
      <c r="G400" s="31" t="str">
        <f ca="1">IF($A$4="平日","20:55","19:30")</f>
        <v>20:55</v>
      </c>
      <c r="H400" s="30" t="s">
        <v>38</v>
      </c>
      <c r="I400" s="31" t="str">
        <f ca="1">IF($A$4="平日","9:02","9:27")</f>
        <v>9:02</v>
      </c>
      <c r="J400" s="30" t="s">
        <v>38</v>
      </c>
      <c r="K400" s="31" t="str">
        <f ca="1">IF($A$4="平日","20:45","19:20")</f>
        <v>20:45</v>
      </c>
      <c r="L400" s="30" t="str">
        <f ca="1">IF($A$4="平日","1065     1031     1038","1031     1038")</f>
        <v>1065     1031     1038</v>
      </c>
      <c r="M400" s="31" t="str">
        <f ca="1">IF($A$4="平日","9:30","9:40")</f>
        <v>9:30</v>
      </c>
      <c r="N400" s="31" t="str">
        <f ca="1">IF($A$4="平日","20:35","19:15")</f>
        <v>20:35</v>
      </c>
      <c r="O400" s="31" t="str">
        <f ca="1">IF($A$4="平日","7:38","6:30")</f>
        <v>7:38</v>
      </c>
      <c r="P400" s="39">
        <f ca="1">IF($A$4="平日",93.1,81.6)</f>
        <v>93.1</v>
      </c>
      <c r="Q400" s="31" t="str">
        <f ca="1">IF($A$4="平日","8:38","7:08")</f>
        <v>8:38</v>
      </c>
      <c r="R400" s="37"/>
      <c r="S400"/>
      <c r="T400"/>
      <c r="U400"/>
      <c r="V400"/>
      <c r="W400" s="30" t="s">
        <v>185</v>
      </c>
      <c r="X400"/>
    </row>
    <row r="401" spans="2:24" ht="14.25" customHeight="1">
      <c r="B401" s="44" t="s">
        <v>404</v>
      </c>
      <c r="C401" s="46"/>
      <c r="D401" s="31" t="str">
        <f ca="1">IF($A$4="平日","6:37","11:39")</f>
        <v>6:37</v>
      </c>
      <c r="E401" s="31" t="str">
        <f ca="1">IF($A$4="平日","6:37","11:39")</f>
        <v>6:37</v>
      </c>
      <c r="F401" s="31" t="str">
        <f ca="1">IF($A$4="平日","19:51","20:45")</f>
        <v>19:51</v>
      </c>
      <c r="G401" s="31" t="str">
        <f ca="1">IF($A$4="平日","19:51","20:45")</f>
        <v>19:51</v>
      </c>
      <c r="H401" s="30" t="s">
        <v>38</v>
      </c>
      <c r="I401" s="31" t="str">
        <f ca="1">IF($A$4="平日","6:52","11:44")</f>
        <v>6:52</v>
      </c>
      <c r="J401" s="30" t="s">
        <v>38</v>
      </c>
      <c r="K401" s="31" t="str">
        <f ca="1">IF($A$4="平日","19:41","20:35")</f>
        <v>19:41</v>
      </c>
      <c r="L401" s="30" t="str">
        <f ca="1">IF($A$4="平日","1063    1588    1050 1061","1031     1037")</f>
        <v>1063    1588    1050 1061</v>
      </c>
      <c r="M401" s="31" t="str">
        <f ca="1">IF($A$4="平日","7:05","12:10")</f>
        <v>7:05</v>
      </c>
      <c r="N401" s="31" t="str">
        <f ca="1">IF($A$4="平日","19:31","20:25")</f>
        <v>19:31</v>
      </c>
      <c r="O401" s="31" t="str">
        <f ca="1">IF($A$4="平日","8:25","5:12")</f>
        <v>8:25</v>
      </c>
      <c r="P401" s="39">
        <f ca="1">IF($A$4="平日",108.1,63)</f>
        <v>108.1</v>
      </c>
      <c r="Q401" s="31" t="str">
        <f ca="1">IF($A$4="平日","8:57","6:06")</f>
        <v>8:57</v>
      </c>
      <c r="R401" s="37"/>
      <c r="S401"/>
      <c r="T401"/>
      <c r="U401"/>
      <c r="V401"/>
      <c r="W401" s="30" t="s">
        <v>185</v>
      </c>
      <c r="X401"/>
    </row>
    <row r="402" spans="2:24" ht="14.25" customHeight="1">
      <c r="B402" s="44" t="s">
        <v>405</v>
      </c>
      <c r="C402" s="46"/>
      <c r="D402" s="31" t="str">
        <f ca="1">IF($A$4="平日","6:27","8:32")</f>
        <v>6:27</v>
      </c>
      <c r="E402" s="31" t="str">
        <f ca="1">IF($A$4="平日","6:27","8:32")</f>
        <v>6:27</v>
      </c>
      <c r="F402" s="31" t="str">
        <f ca="1">IF($A$4="平日","17:56","17:56")</f>
        <v>17:56</v>
      </c>
      <c r="G402" s="31" t="str">
        <f ca="1">IF($A$4="平日","17:56","17:56")</f>
        <v>17:56</v>
      </c>
      <c r="H402" s="30" t="s">
        <v>38</v>
      </c>
      <c r="I402" s="31" t="str">
        <f ca="1">IF($A$4="平日","6:42","8:47")</f>
        <v>6:42</v>
      </c>
      <c r="J402" s="30" t="s">
        <v>38</v>
      </c>
      <c r="K402" s="31" t="str">
        <f ca="1">IF($A$4="平日","17:46","17:46")</f>
        <v>17:46</v>
      </c>
      <c r="L402" s="30" t="str">
        <f ca="1">IF($A$4="平日","510     1037     1038","1038     1037")</f>
        <v>510     1037     1038</v>
      </c>
      <c r="M402" s="31" t="str">
        <f ca="1">IF($A$4="平日","6:55","9:00")</f>
        <v>6:55</v>
      </c>
      <c r="N402" s="31" t="str">
        <f ca="1">IF($A$4="平日","17:45","17:35")</f>
        <v>17:45</v>
      </c>
      <c r="O402" s="31" t="str">
        <f ca="1">IF($A$4="平日","7:38","6:20")</f>
        <v>7:38</v>
      </c>
      <c r="P402" s="39">
        <f ca="1">IF($A$4="平日",93.2,78.2)</f>
        <v>93.2</v>
      </c>
      <c r="Q402" s="31" t="str">
        <f ca="1">IF($A$4="平日","8:19","7:04")</f>
        <v>8:19</v>
      </c>
      <c r="R402" s="37"/>
      <c r="S402"/>
      <c r="T402"/>
      <c r="U402"/>
      <c r="V402"/>
      <c r="W402" s="30" t="s">
        <v>185</v>
      </c>
      <c r="X402"/>
    </row>
    <row r="403" spans="2:24">
      <c r="B403" s="44" t="s">
        <v>430</v>
      </c>
      <c r="C403" s="46"/>
      <c r="D403" s="31">
        <v>0.33263888888888887</v>
      </c>
      <c r="E403" s="31">
        <v>0.33263888888888887</v>
      </c>
      <c r="F403" s="31">
        <v>0.9243055555555556</v>
      </c>
      <c r="G403" s="31">
        <v>0.9243055555555556</v>
      </c>
      <c r="H403" s="30" t="s">
        <v>38</v>
      </c>
      <c r="I403" s="31">
        <v>0.34305555555555556</v>
      </c>
      <c r="J403" s="30" t="s">
        <v>38</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185</v>
      </c>
      <c r="X403"/>
    </row>
    <row r="404" spans="2:24">
      <c r="B404" s="103"/>
      <c r="C404" s="26"/>
      <c r="D404" s="31"/>
      <c r="E404" s="31"/>
      <c r="F404" s="31"/>
      <c r="G404" s="31"/>
      <c r="H404" s="30"/>
      <c r="I404" s="31"/>
      <c r="J404" s="30"/>
      <c r="K404" s="31"/>
      <c r="L404" s="31"/>
      <c r="M404" s="31"/>
      <c r="N404" s="31"/>
      <c r="O404" s="31"/>
      <c r="P404" s="39"/>
      <c r="Q404" s="31"/>
      <c r="R404" s="37"/>
      <c r="S404"/>
      <c r="T404"/>
      <c r="U404"/>
      <c r="V404"/>
      <c r="W404"/>
      <c r="X404"/>
    </row>
    <row r="405" spans="2:24">
      <c r="B405" s="154" t="s">
        <v>597</v>
      </c>
      <c r="D405" s="36">
        <v>0.22222222222222221</v>
      </c>
      <c r="E405" s="36">
        <v>0.22222222222222221</v>
      </c>
      <c r="F405" s="36">
        <v>0.33680555555555558</v>
      </c>
      <c r="G405" s="36">
        <v>0.33680555555555558</v>
      </c>
      <c r="H405" s="30" t="s">
        <v>38</v>
      </c>
      <c r="I405" s="37">
        <v>0.2326388888888889</v>
      </c>
      <c r="J405" s="30" t="s">
        <v>38</v>
      </c>
      <c r="K405" s="36">
        <v>0.3298611111111111</v>
      </c>
      <c r="L405" s="28" t="s">
        <v>223</v>
      </c>
      <c r="M405" s="36">
        <v>0.23958333333333334</v>
      </c>
      <c r="N405" s="37">
        <v>0.32291666666666669</v>
      </c>
      <c r="O405" s="37">
        <v>7.2222222222222215E-2</v>
      </c>
      <c r="P405" s="39">
        <v>40</v>
      </c>
      <c r="Q405" s="36">
        <v>9.7222222222222224E-2</v>
      </c>
      <c r="R405" s="37"/>
      <c r="S405"/>
      <c r="T405"/>
      <c r="U405"/>
      <c r="V405"/>
      <c r="W405" s="30" t="s">
        <v>109</v>
      </c>
      <c r="X405"/>
    </row>
    <row r="406" spans="2:24">
      <c r="B406" s="154" t="s">
        <v>647</v>
      </c>
      <c r="D406" s="36">
        <v>0.22222222222222221</v>
      </c>
      <c r="E406" s="36">
        <v>0.22222222222222221</v>
      </c>
      <c r="F406" s="36">
        <v>0.40486111111111112</v>
      </c>
      <c r="G406" s="36">
        <v>0.40486111111111112</v>
      </c>
      <c r="H406" s="30" t="s">
        <v>38</v>
      </c>
      <c r="I406" s="37">
        <v>0.2326388888888889</v>
      </c>
      <c r="J406" s="31" t="s">
        <v>598</v>
      </c>
      <c r="K406" s="36">
        <v>0.39791666666666664</v>
      </c>
      <c r="L406" s="28"/>
      <c r="M406" s="36">
        <v>0.23958333333333334</v>
      </c>
      <c r="N406" s="37">
        <v>0.3923611111111111</v>
      </c>
      <c r="O406" s="37">
        <v>7.2916666666666671E-2</v>
      </c>
      <c r="P406" s="39">
        <v>38.5</v>
      </c>
      <c r="Q406" s="36">
        <v>0.16041666666666668</v>
      </c>
      <c r="R406" s="37"/>
      <c r="S406"/>
      <c r="T406"/>
      <c r="U406"/>
      <c r="V406"/>
      <c r="W406" s="30" t="s">
        <v>109</v>
      </c>
      <c r="X406"/>
    </row>
    <row r="407" spans="2:24">
      <c r="B407" s="154" t="s">
        <v>648</v>
      </c>
      <c r="D407" s="36">
        <v>0.39444444444444443</v>
      </c>
      <c r="E407" s="36">
        <v>0.39444444444444443</v>
      </c>
      <c r="F407" s="36">
        <v>0.51249999999999996</v>
      </c>
      <c r="G407" s="36">
        <v>0.51249999999999996</v>
      </c>
      <c r="H407" s="31" t="str">
        <f ca="1">IF($A$4="平日","本    社","北    浜")</f>
        <v>本    社</v>
      </c>
      <c r="I407" s="37">
        <v>0.40138888888888891</v>
      </c>
      <c r="J407" s="30" t="s">
        <v>38</v>
      </c>
      <c r="K407" s="36">
        <v>0.50555555555555554</v>
      </c>
      <c r="L407" s="28" t="s">
        <v>223</v>
      </c>
      <c r="M407" s="36">
        <v>0.40833333333333333</v>
      </c>
      <c r="N407" s="37">
        <v>0.5</v>
      </c>
      <c r="O407" s="31" t="str">
        <f ca="1">IF($A$4="平日","2:02","1:55")</f>
        <v>2:02</v>
      </c>
      <c r="P407" s="39">
        <f ca="1">IF($A$4="平日",41.2,38.7)</f>
        <v>41.2</v>
      </c>
      <c r="Q407" s="31" t="str">
        <f ca="1">IF($A$4="平日","2:30","2:23")</f>
        <v>2:30</v>
      </c>
      <c r="R407" s="37"/>
      <c r="S407"/>
      <c r="T407"/>
      <c r="U407"/>
      <c r="V407"/>
      <c r="W407" s="30" t="s">
        <v>109</v>
      </c>
      <c r="X407"/>
    </row>
    <row r="408" spans="2:24">
      <c r="B408" s="154" t="s">
        <v>649</v>
      </c>
      <c r="D408" s="36">
        <v>0.5541666666666667</v>
      </c>
      <c r="E408" s="36">
        <v>0.5541666666666667</v>
      </c>
      <c r="F408" s="36">
        <v>0.68263888888888891</v>
      </c>
      <c r="G408" s="36">
        <v>0.68263888888888891</v>
      </c>
      <c r="H408" s="30" t="s">
        <v>38</v>
      </c>
      <c r="I408" s="37">
        <v>0.56111111111111112</v>
      </c>
      <c r="J408" s="30" t="s">
        <v>38</v>
      </c>
      <c r="K408" s="36">
        <v>0.67569444444444449</v>
      </c>
      <c r="L408" s="28" t="s">
        <v>223</v>
      </c>
      <c r="M408" s="36">
        <v>0.56805555555555554</v>
      </c>
      <c r="N408" s="37">
        <v>0.67013888888888884</v>
      </c>
      <c r="O408" s="37">
        <v>8.4722222222222227E-2</v>
      </c>
      <c r="P408" s="39">
        <v>41.2</v>
      </c>
      <c r="Q408" s="36">
        <v>0.11458333333333333</v>
      </c>
      <c r="R408" s="37"/>
      <c r="S408"/>
      <c r="T408"/>
      <c r="U408"/>
      <c r="V408"/>
      <c r="W408" s="30" t="s">
        <v>109</v>
      </c>
      <c r="X408"/>
    </row>
    <row r="409" spans="2:24">
      <c r="B409" s="154" t="s">
        <v>650</v>
      </c>
      <c r="D409" s="36">
        <v>0.72222222222222221</v>
      </c>
      <c r="E409" s="36">
        <v>0.72222222222222221</v>
      </c>
      <c r="F409" s="36">
        <v>0.84583333333333333</v>
      </c>
      <c r="G409" s="36">
        <v>0.84583333333333333</v>
      </c>
      <c r="H409" s="30" t="s">
        <v>38</v>
      </c>
      <c r="I409" s="37">
        <v>0.72916666666666663</v>
      </c>
      <c r="J409" s="30" t="s">
        <v>38</v>
      </c>
      <c r="K409" s="36">
        <v>0.83888888888888891</v>
      </c>
      <c r="L409" s="28" t="s">
        <v>223</v>
      </c>
      <c r="M409" s="36">
        <v>0.73611111111111116</v>
      </c>
      <c r="N409" s="37">
        <v>0.83194444444444449</v>
      </c>
      <c r="O409" s="37">
        <v>8.9583333333333334E-2</v>
      </c>
      <c r="P409" s="39">
        <v>41.2</v>
      </c>
      <c r="Q409" s="36">
        <v>0.10972222222222222</v>
      </c>
      <c r="R409" s="37"/>
      <c r="S409"/>
      <c r="T409"/>
      <c r="U409"/>
      <c r="V409"/>
      <c r="W409" s="30" t="s">
        <v>109</v>
      </c>
      <c r="X409"/>
    </row>
    <row r="410" spans="2:24">
      <c r="B410" s="154" t="s">
        <v>599</v>
      </c>
      <c r="C410" s="46"/>
      <c r="D410" s="36">
        <v>0.22222222222222221</v>
      </c>
      <c r="E410" s="36">
        <v>0.22222222222222221</v>
      </c>
      <c r="F410" s="36">
        <v>0.84583333333333333</v>
      </c>
      <c r="G410" s="36">
        <v>0.84583333333333333</v>
      </c>
      <c r="H410" s="30" t="s">
        <v>38</v>
      </c>
      <c r="I410" s="37">
        <v>0.2326388888888889</v>
      </c>
      <c r="J410" s="30" t="s">
        <v>38</v>
      </c>
      <c r="K410" s="36">
        <v>0.83888888888888891</v>
      </c>
      <c r="L410" s="28" t="s">
        <v>223</v>
      </c>
      <c r="M410" s="36">
        <v>0.23958333333333334</v>
      </c>
      <c r="N410" s="37">
        <v>0.83194444444444449</v>
      </c>
      <c r="O410" s="31" t="str">
        <f ca="1">IF($A$4="平日","7:57","7:51")</f>
        <v>7:57</v>
      </c>
      <c r="P410" s="39">
        <f ca="1">IF($A$4="平日",164.5,160.7)</f>
        <v>164.5</v>
      </c>
      <c r="Q410" s="31" t="str">
        <f ca="1">IF($A$4="平日","10:38","12:02")</f>
        <v>10:38</v>
      </c>
      <c r="R410" s="37"/>
      <c r="S410"/>
      <c r="T410"/>
      <c r="U410"/>
      <c r="V410"/>
      <c r="W410" s="30" t="s">
        <v>109</v>
      </c>
      <c r="X410"/>
    </row>
    <row r="411" spans="2:24">
      <c r="B411" s="15"/>
      <c r="H411" s="30"/>
      <c r="P411"/>
      <c r="Q411"/>
      <c r="R411" s="37"/>
      <c r="S411"/>
      <c r="T411"/>
      <c r="U411"/>
      <c r="V411"/>
      <c r="W411"/>
      <c r="X411"/>
    </row>
    <row r="412" spans="2:24">
      <c r="B412" s="154" t="s">
        <v>651</v>
      </c>
      <c r="D412" s="36">
        <v>0.4597222222222222</v>
      </c>
      <c r="E412" s="36">
        <v>0.4597222222222222</v>
      </c>
      <c r="F412" s="144">
        <v>0.59236111111111112</v>
      </c>
      <c r="G412" s="144">
        <v>0.59236111111111112</v>
      </c>
      <c r="H412" s="30" t="s">
        <v>38</v>
      </c>
      <c r="I412" s="37">
        <v>0.47013888888888888</v>
      </c>
      <c r="J412" s="30" t="s">
        <v>38</v>
      </c>
      <c r="K412" s="144">
        <v>0.5854166666666667</v>
      </c>
      <c r="L412" s="28" t="s">
        <v>223</v>
      </c>
      <c r="M412" s="36">
        <v>0.47708333333333336</v>
      </c>
      <c r="N412" s="144">
        <v>0.57986111111111116</v>
      </c>
      <c r="O412" s="144">
        <v>8.4722222222222227E-2</v>
      </c>
      <c r="P412" s="39">
        <v>41.2</v>
      </c>
      <c r="Q412" s="144">
        <v>0.11527777777777778</v>
      </c>
      <c r="R412" s="37"/>
      <c r="S412"/>
      <c r="T412"/>
      <c r="U412"/>
      <c r="V412"/>
      <c r="W412" s="30" t="s">
        <v>109</v>
      </c>
      <c r="X412"/>
    </row>
    <row r="413" spans="2:24">
      <c r="B413" s="154" t="s">
        <v>676</v>
      </c>
      <c r="D413" s="36">
        <v>0.62152777777777779</v>
      </c>
      <c r="E413" s="36">
        <v>0.62152777777777779</v>
      </c>
      <c r="F413" s="144">
        <v>0.74513888888888891</v>
      </c>
      <c r="G413" s="144">
        <v>0.74513888888888891</v>
      </c>
      <c r="H413" s="30" t="s">
        <v>38</v>
      </c>
      <c r="I413" s="37">
        <v>0.62847222222222221</v>
      </c>
      <c r="J413" s="30" t="s">
        <v>38</v>
      </c>
      <c r="K413" s="144">
        <v>0.73819444444444449</v>
      </c>
      <c r="L413" s="28" t="s">
        <v>223</v>
      </c>
      <c r="M413" s="36">
        <v>0.63541666666666663</v>
      </c>
      <c r="N413" s="144">
        <v>0.73124999999999996</v>
      </c>
      <c r="O413" s="144">
        <v>8.4722222222222227E-2</v>
      </c>
      <c r="P413" s="39">
        <v>41.2</v>
      </c>
      <c r="Q413" s="144">
        <v>0.10972222222222222</v>
      </c>
      <c r="R413" s="37"/>
      <c r="S413"/>
      <c r="T413"/>
      <c r="U413"/>
      <c r="V413"/>
      <c r="W413" s="30" t="s">
        <v>109</v>
      </c>
      <c r="X413"/>
    </row>
    <row r="414" spans="2:24">
      <c r="B414" s="154" t="s">
        <v>669</v>
      </c>
      <c r="D414" s="36">
        <v>0.80902777777777779</v>
      </c>
      <c r="E414" s="36">
        <v>0.80902777777777779</v>
      </c>
      <c r="F414" s="36">
        <v>0.96180555555555558</v>
      </c>
      <c r="G414" s="36">
        <v>0.96180555555555558</v>
      </c>
      <c r="H414" s="30" t="s">
        <v>38</v>
      </c>
      <c r="I414" s="37">
        <v>0.81597222222222221</v>
      </c>
      <c r="J414" s="30" t="s">
        <v>38</v>
      </c>
      <c r="K414" s="36">
        <v>0.95486111111111116</v>
      </c>
      <c r="L414" s="28" t="s">
        <v>223</v>
      </c>
      <c r="M414" s="36">
        <v>0.82291666666666663</v>
      </c>
      <c r="N414" s="37">
        <v>0.94791666666666663</v>
      </c>
      <c r="O414" s="37">
        <v>7.4999999999999997E-2</v>
      </c>
      <c r="P414" s="39">
        <v>40.799999999999997</v>
      </c>
      <c r="Q414" s="36">
        <v>0.1388888888888889</v>
      </c>
      <c r="R414" s="37"/>
      <c r="S414"/>
      <c r="T414"/>
      <c r="U414"/>
      <c r="V414"/>
      <c r="W414" s="30" t="s">
        <v>109</v>
      </c>
      <c r="X414"/>
    </row>
    <row r="415" spans="2:24">
      <c r="B415" s="154" t="s">
        <v>670</v>
      </c>
      <c r="D415" s="36">
        <v>0.85763888888888884</v>
      </c>
      <c r="E415" s="36">
        <v>0.85763888888888884</v>
      </c>
      <c r="F415" s="36">
        <v>0.96180555555555558</v>
      </c>
      <c r="G415" s="36">
        <v>0.96180555555555558</v>
      </c>
      <c r="H415" s="30" t="s">
        <v>38</v>
      </c>
      <c r="I415" s="37">
        <v>0.86458333333333337</v>
      </c>
      <c r="J415" s="30" t="s">
        <v>38</v>
      </c>
      <c r="K415" s="36">
        <v>0.95486111111111116</v>
      </c>
      <c r="L415" s="28" t="s">
        <v>223</v>
      </c>
      <c r="M415" s="36">
        <v>0.87152777777777779</v>
      </c>
      <c r="N415" s="37">
        <v>0.94791666666666663</v>
      </c>
      <c r="O415" s="37">
        <v>7.1527777777777773E-2</v>
      </c>
      <c r="P415" s="39">
        <v>39.1</v>
      </c>
      <c r="Q415" s="36">
        <v>8.3333333333333329E-2</v>
      </c>
      <c r="R415" s="37"/>
      <c r="S415"/>
      <c r="T415"/>
      <c r="U415"/>
      <c r="V415"/>
      <c r="W415" s="30" t="s">
        <v>109</v>
      </c>
      <c r="X415"/>
    </row>
    <row r="416" spans="2:24">
      <c r="B416" s="154" t="s">
        <v>600</v>
      </c>
      <c r="C416" s="46"/>
      <c r="D416" s="31">
        <v>0.4597222222222222</v>
      </c>
      <c r="E416" s="31">
        <v>0.4597222222222222</v>
      </c>
      <c r="F416" s="36">
        <v>0.96180555555555558</v>
      </c>
      <c r="G416" s="36">
        <v>0.96180555555555558</v>
      </c>
      <c r="H416" s="30" t="s">
        <v>38</v>
      </c>
      <c r="I416" s="31">
        <v>0.47013888888888888</v>
      </c>
      <c r="J416" s="30" t="s">
        <v>38</v>
      </c>
      <c r="K416" s="36">
        <v>0.95486111111111116</v>
      </c>
      <c r="L416" s="28" t="s">
        <v>223</v>
      </c>
      <c r="M416" s="31">
        <v>0.47708333333333336</v>
      </c>
      <c r="N416" s="37">
        <v>0.94791666666666663</v>
      </c>
      <c r="O416" s="31" t="str">
        <f ca="1">IF($A$4="平日","5:52","5:47")</f>
        <v>5:52</v>
      </c>
      <c r="P416" s="39">
        <f ca="1">IF($A$4="平日",123.8,122.1)</f>
        <v>123.8</v>
      </c>
      <c r="Q416" s="31" t="str">
        <f ca="1">IF($A$4="平日","9:09","7:49")</f>
        <v>9:09</v>
      </c>
      <c r="R416" s="37"/>
      <c r="S416"/>
      <c r="T416"/>
      <c r="U416"/>
      <c r="V416"/>
      <c r="W416" s="30" t="s">
        <v>109</v>
      </c>
      <c r="X416"/>
    </row>
    <row r="417" spans="2:24">
      <c r="B417" s="15"/>
      <c r="H417" s="30"/>
      <c r="P417"/>
      <c r="Q417"/>
      <c r="R417" s="37"/>
      <c r="S417"/>
      <c r="T417"/>
      <c r="U417"/>
      <c r="V417"/>
      <c r="W417"/>
      <c r="X417"/>
    </row>
    <row r="418" spans="2:24">
      <c r="B418" s="154" t="s">
        <v>652</v>
      </c>
      <c r="D418" s="36">
        <v>0.3888888888888889</v>
      </c>
      <c r="E418" s="36">
        <v>0.3888888888888889</v>
      </c>
      <c r="F418" s="36">
        <v>0.50694444444444442</v>
      </c>
      <c r="G418" s="36">
        <v>0.50694444444444442</v>
      </c>
      <c r="H418" s="30" t="s">
        <v>38</v>
      </c>
      <c r="I418" s="37">
        <v>0.39930555555555558</v>
      </c>
      <c r="J418" s="30" t="s">
        <v>38</v>
      </c>
      <c r="K418" s="36">
        <v>0.5</v>
      </c>
      <c r="L418" s="28" t="s">
        <v>223</v>
      </c>
      <c r="M418" s="36">
        <v>0.40625</v>
      </c>
      <c r="N418" s="37">
        <v>0.49305555555555558</v>
      </c>
      <c r="O418" s="31">
        <v>8.4722222222222227E-2</v>
      </c>
      <c r="P418" s="39">
        <v>41.2</v>
      </c>
      <c r="Q418" s="31">
        <v>9.930555555555555E-2</v>
      </c>
      <c r="R418" s="37"/>
      <c r="S418"/>
      <c r="T418"/>
      <c r="U418"/>
      <c r="V418"/>
      <c r="W418" s="30" t="s">
        <v>109</v>
      </c>
      <c r="X418"/>
    </row>
    <row r="419" spans="2:24">
      <c r="B419" s="154" t="s">
        <v>653</v>
      </c>
      <c r="D419" s="36">
        <v>0.55625000000000002</v>
      </c>
      <c r="E419" s="36">
        <v>0.55625000000000002</v>
      </c>
      <c r="F419" s="36">
        <v>0.68263888888888891</v>
      </c>
      <c r="G419" s="36">
        <v>0.68263888888888891</v>
      </c>
      <c r="H419" s="30" t="s">
        <v>38</v>
      </c>
      <c r="I419" s="37">
        <v>0.56319444444444444</v>
      </c>
      <c r="J419" s="30" t="s">
        <v>38</v>
      </c>
      <c r="K419" s="36">
        <v>0.67569444444444449</v>
      </c>
      <c r="L419" s="28" t="s">
        <v>223</v>
      </c>
      <c r="M419" s="36">
        <v>0.57013888888888886</v>
      </c>
      <c r="N419" s="37">
        <v>0.67013888888888884</v>
      </c>
      <c r="O419" s="37">
        <v>8.611111111111111E-2</v>
      </c>
      <c r="P419" s="39">
        <v>42</v>
      </c>
      <c r="Q419" s="36">
        <v>0.1125</v>
      </c>
      <c r="R419" s="37"/>
      <c r="S419"/>
      <c r="T419"/>
      <c r="U419"/>
      <c r="V419"/>
      <c r="W419" s="30" t="s">
        <v>109</v>
      </c>
      <c r="X419"/>
    </row>
    <row r="420" spans="2:24">
      <c r="B420" s="154" t="s">
        <v>654</v>
      </c>
      <c r="D420" s="36">
        <v>0.72430555555555554</v>
      </c>
      <c r="E420" s="36">
        <v>0.72430555555555554</v>
      </c>
      <c r="F420" s="36">
        <v>0.84583333333333333</v>
      </c>
      <c r="G420" s="36">
        <v>0.84583333333333333</v>
      </c>
      <c r="H420" s="30" t="s">
        <v>38</v>
      </c>
      <c r="I420" s="37">
        <v>0.73124999999999996</v>
      </c>
      <c r="J420" s="30" t="s">
        <v>38</v>
      </c>
      <c r="K420" s="36">
        <v>0.83888888888888891</v>
      </c>
      <c r="L420" s="28" t="s">
        <v>223</v>
      </c>
      <c r="M420" s="36">
        <v>0.73819444444444449</v>
      </c>
      <c r="N420" s="37">
        <v>0.83194444444444449</v>
      </c>
      <c r="O420" s="37">
        <v>8.9583333333333334E-2</v>
      </c>
      <c r="P420" s="39">
        <v>41.2</v>
      </c>
      <c r="Q420" s="36">
        <v>0.1076388888888889</v>
      </c>
      <c r="R420" s="37"/>
      <c r="S420"/>
      <c r="T420"/>
      <c r="U420"/>
      <c r="V420"/>
      <c r="W420" s="30" t="s">
        <v>109</v>
      </c>
      <c r="X420"/>
    </row>
    <row r="421" spans="2:24">
      <c r="B421" s="154" t="s">
        <v>601</v>
      </c>
      <c r="C421" s="46"/>
      <c r="D421" s="36">
        <v>0.3888888888888889</v>
      </c>
      <c r="E421" s="36">
        <v>0.3888888888888889</v>
      </c>
      <c r="F421" s="36">
        <v>0.84583333333333333</v>
      </c>
      <c r="G421" s="36">
        <v>0.84583333333333333</v>
      </c>
      <c r="H421" s="30" t="s">
        <v>38</v>
      </c>
      <c r="I421" s="37">
        <v>0.39930555555555558</v>
      </c>
      <c r="J421" s="30" t="s">
        <v>38</v>
      </c>
      <c r="K421" s="36">
        <v>0.83888888888888891</v>
      </c>
      <c r="L421" s="28" t="s">
        <v>223</v>
      </c>
      <c r="M421" s="36">
        <v>0.40625</v>
      </c>
      <c r="N421" s="37">
        <v>0.83194444444444449</v>
      </c>
      <c r="O421" s="31">
        <v>0.26041666666666669</v>
      </c>
      <c r="P421" s="39">
        <v>125.3</v>
      </c>
      <c r="Q421" s="31">
        <v>0.33680555555555558</v>
      </c>
      <c r="R421" s="37"/>
      <c r="S421"/>
      <c r="T421"/>
      <c r="U421"/>
      <c r="V421"/>
      <c r="W421" s="30" t="s">
        <v>109</v>
      </c>
      <c r="X421"/>
    </row>
    <row r="422" spans="2:24">
      <c r="B422" s="15"/>
      <c r="H422" s="30"/>
      <c r="P422"/>
      <c r="Q422"/>
      <c r="R422" s="37"/>
      <c r="S422"/>
      <c r="T422"/>
      <c r="U422"/>
      <c r="V422"/>
      <c r="W422"/>
      <c r="X422"/>
    </row>
    <row r="423" spans="2:24">
      <c r="B423" s="154" t="s">
        <v>671</v>
      </c>
      <c r="D423" s="36">
        <v>0.31458333333333333</v>
      </c>
      <c r="E423" s="36">
        <v>0.31458333333333333</v>
      </c>
      <c r="F423" s="36">
        <v>0.44305555555555554</v>
      </c>
      <c r="G423" s="36">
        <v>0.44305555555555554</v>
      </c>
      <c r="H423" s="30" t="s">
        <v>38</v>
      </c>
      <c r="I423" s="37">
        <v>0.32500000000000001</v>
      </c>
      <c r="J423" s="30" t="s">
        <v>38</v>
      </c>
      <c r="K423" s="36">
        <v>0.43611111111111112</v>
      </c>
      <c r="L423" s="28" t="s">
        <v>223</v>
      </c>
      <c r="M423" s="36">
        <v>0.33194444444444443</v>
      </c>
      <c r="N423" s="37">
        <v>0.43055555555555558</v>
      </c>
      <c r="O423" s="37">
        <v>8.611111111111111E-2</v>
      </c>
      <c r="P423" s="39">
        <v>42</v>
      </c>
      <c r="Q423" s="36">
        <v>0.1111111111111111</v>
      </c>
      <c r="R423" s="37"/>
      <c r="S423"/>
      <c r="T423"/>
      <c r="U423"/>
      <c r="V423"/>
      <c r="W423" s="30" t="s">
        <v>109</v>
      </c>
      <c r="X423"/>
    </row>
    <row r="424" spans="2:24">
      <c r="B424" s="154" t="s">
        <v>655</v>
      </c>
      <c r="D424" s="36">
        <v>0.46527777777777779</v>
      </c>
      <c r="E424" s="36">
        <v>0.46527777777777779</v>
      </c>
      <c r="F424" s="36">
        <v>0.59722222222222221</v>
      </c>
      <c r="G424" s="36">
        <v>0.59722222222222221</v>
      </c>
      <c r="H424" s="30" t="s">
        <v>38</v>
      </c>
      <c r="I424" s="37">
        <v>0.47222222222222221</v>
      </c>
      <c r="J424" s="30" t="s">
        <v>38</v>
      </c>
      <c r="K424" s="36">
        <v>0.59027777777777779</v>
      </c>
      <c r="L424" s="28" t="s">
        <v>223</v>
      </c>
      <c r="M424" s="36">
        <v>0.47916666666666669</v>
      </c>
      <c r="N424" s="37">
        <v>0.58333333333333337</v>
      </c>
      <c r="O424" s="37">
        <v>8.4722222222222227E-2</v>
      </c>
      <c r="P424" s="39">
        <v>41.2</v>
      </c>
      <c r="Q424" s="36">
        <v>0.11666666666666667</v>
      </c>
      <c r="R424" s="37"/>
      <c r="S424"/>
      <c r="T424"/>
      <c r="U424"/>
      <c r="V424"/>
      <c r="W424" s="30" t="s">
        <v>109</v>
      </c>
      <c r="X424"/>
    </row>
    <row r="425" spans="2:24">
      <c r="B425" s="154" t="s">
        <v>672</v>
      </c>
      <c r="D425" s="36">
        <v>0.61944444444444446</v>
      </c>
      <c r="E425" s="36">
        <v>0.61944444444444446</v>
      </c>
      <c r="F425" s="144">
        <v>0.74513888888888891</v>
      </c>
      <c r="G425" s="144">
        <v>0.74513888888888891</v>
      </c>
      <c r="H425" s="30" t="s">
        <v>38</v>
      </c>
      <c r="I425" s="37">
        <v>0.62638888888888888</v>
      </c>
      <c r="J425" s="30" t="s">
        <v>38</v>
      </c>
      <c r="K425" s="144">
        <v>0.73819444444444449</v>
      </c>
      <c r="L425" s="28" t="s">
        <v>223</v>
      </c>
      <c r="M425" s="36">
        <v>0.6333333333333333</v>
      </c>
      <c r="N425" s="144">
        <v>0.73124999999999996</v>
      </c>
      <c r="O425" s="37">
        <v>8.4722222222222227E-2</v>
      </c>
      <c r="P425" s="39">
        <v>41.2</v>
      </c>
      <c r="Q425" s="36">
        <v>0.11180555555555556</v>
      </c>
      <c r="R425" s="37"/>
      <c r="S425"/>
      <c r="T425"/>
      <c r="U425"/>
      <c r="V425"/>
      <c r="W425" s="30" t="s">
        <v>109</v>
      </c>
      <c r="X425"/>
    </row>
    <row r="426" spans="2:24">
      <c r="B426" s="154" t="s">
        <v>677</v>
      </c>
      <c r="D426" s="36">
        <v>0.80208333333333337</v>
      </c>
      <c r="E426" s="36">
        <v>0.80208333333333337</v>
      </c>
      <c r="F426" s="36">
        <v>0.89930555555555558</v>
      </c>
      <c r="G426" s="36">
        <v>0.89930555555555558</v>
      </c>
      <c r="H426" s="30" t="s">
        <v>38</v>
      </c>
      <c r="I426" s="37">
        <v>0.80902777777777779</v>
      </c>
      <c r="J426" s="30" t="s">
        <v>38</v>
      </c>
      <c r="K426" s="36">
        <v>0.89236111111111116</v>
      </c>
      <c r="L426" s="28" t="s">
        <v>223</v>
      </c>
      <c r="M426" s="36">
        <v>0.80902777777777779</v>
      </c>
      <c r="N426" s="37">
        <v>0.88541666666666663</v>
      </c>
      <c r="O426" s="37">
        <v>7.1527777777777773E-2</v>
      </c>
      <c r="P426" s="39">
        <v>39.1</v>
      </c>
      <c r="Q426" s="36">
        <v>8.3333333333333329E-2</v>
      </c>
      <c r="R426" s="37"/>
      <c r="S426"/>
      <c r="T426"/>
      <c r="U426"/>
      <c r="V426"/>
      <c r="W426" s="30" t="s">
        <v>109</v>
      </c>
      <c r="X426"/>
    </row>
    <row r="427" spans="2:24">
      <c r="B427" s="154" t="s">
        <v>409</v>
      </c>
      <c r="C427" s="46"/>
      <c r="D427" s="36">
        <v>0.31458333333333333</v>
      </c>
      <c r="E427" s="36">
        <v>0.31458333333333333</v>
      </c>
      <c r="F427" s="36">
        <v>0.89930555555555558</v>
      </c>
      <c r="G427" s="36">
        <v>0.89930555555555558</v>
      </c>
      <c r="H427" s="30" t="s">
        <v>38</v>
      </c>
      <c r="I427" s="37">
        <v>0.32500000000000001</v>
      </c>
      <c r="J427" s="30" t="s">
        <v>38</v>
      </c>
      <c r="K427" s="36">
        <v>0.89236111111111116</v>
      </c>
      <c r="L427" s="28" t="s">
        <v>223</v>
      </c>
      <c r="M427" s="36">
        <v>0.33194444444444443</v>
      </c>
      <c r="N427" s="37">
        <v>0.88541666666666663</v>
      </c>
      <c r="O427" s="37">
        <v>0.32708333333333334</v>
      </c>
      <c r="P427" s="39">
        <v>164.4</v>
      </c>
      <c r="Q427" s="155">
        <v>0.44027777777777777</v>
      </c>
      <c r="R427" s="37"/>
      <c r="S427"/>
      <c r="T427"/>
      <c r="U427"/>
      <c r="V427"/>
      <c r="W427" s="30" t="s">
        <v>109</v>
      </c>
      <c r="X427"/>
    </row>
    <row r="428" spans="2:24">
      <c r="B428" s="15"/>
      <c r="H428" s="30"/>
      <c r="J428" s="30"/>
      <c r="P428"/>
      <c r="Q428"/>
      <c r="R428" s="37"/>
      <c r="S428"/>
      <c r="T428"/>
      <c r="U428"/>
      <c r="V428"/>
      <c r="W428"/>
      <c r="X428"/>
    </row>
    <row r="429" spans="2:24">
      <c r="B429" s="154" t="s">
        <v>410</v>
      </c>
      <c r="C429" s="46"/>
      <c r="D429" s="31">
        <v>0.31041666666666667</v>
      </c>
      <c r="E429" s="31">
        <v>0.31041666666666667</v>
      </c>
      <c r="F429" s="31">
        <v>0.43611111111111112</v>
      </c>
      <c r="G429" s="31">
        <v>0.43611111111111112</v>
      </c>
      <c r="H429" s="30" t="s">
        <v>38</v>
      </c>
      <c r="I429" s="37">
        <v>0.32083333333333336</v>
      </c>
      <c r="J429" s="30" t="s">
        <v>38</v>
      </c>
      <c r="K429" s="31">
        <v>0.42916666666666664</v>
      </c>
      <c r="L429" s="28" t="s">
        <v>223</v>
      </c>
      <c r="M429" s="36">
        <v>0.32777777777777778</v>
      </c>
      <c r="N429" s="31">
        <v>0.4236111111111111</v>
      </c>
      <c r="O429" s="31">
        <v>8.4722222222222227E-2</v>
      </c>
      <c r="P429" s="39">
        <v>41.5</v>
      </c>
      <c r="Q429" s="31">
        <v>0.12569444444444444</v>
      </c>
      <c r="R429" s="39">
        <v>162.19999999999999</v>
      </c>
      <c r="S429"/>
      <c r="T429"/>
      <c r="U429"/>
      <c r="V429"/>
      <c r="W429" s="30" t="s">
        <v>109</v>
      </c>
      <c r="X429"/>
    </row>
    <row r="430" spans="2:24">
      <c r="B430" s="15"/>
      <c r="H430" s="30"/>
      <c r="J430" s="30"/>
      <c r="P430"/>
      <c r="Q430"/>
      <c r="R430" s="37"/>
      <c r="S430"/>
      <c r="T430"/>
      <c r="U430"/>
      <c r="V430"/>
      <c r="W430"/>
      <c r="X430"/>
    </row>
    <row r="431" spans="2:24">
      <c r="B431" s="154" t="s">
        <v>656</v>
      </c>
      <c r="D431" s="36">
        <v>0.30833333333333335</v>
      </c>
      <c r="E431" s="36">
        <v>0.30833333333333335</v>
      </c>
      <c r="F431" s="36">
        <v>0.43611111111111112</v>
      </c>
      <c r="G431" s="36">
        <v>0.43611111111111112</v>
      </c>
      <c r="H431" s="30" t="s">
        <v>38</v>
      </c>
      <c r="I431" s="37">
        <v>0.31874999999999998</v>
      </c>
      <c r="J431" s="30" t="s">
        <v>38</v>
      </c>
      <c r="K431" s="36">
        <v>0.42916666666666664</v>
      </c>
      <c r="L431" s="28" t="s">
        <v>223</v>
      </c>
      <c r="M431" s="36">
        <v>0.3298611111111111</v>
      </c>
      <c r="N431" s="37">
        <v>0.4236111111111111</v>
      </c>
      <c r="O431" s="37">
        <v>8.4722222222222227E-2</v>
      </c>
      <c r="P431" s="39">
        <v>41.2</v>
      </c>
      <c r="Q431" s="36">
        <v>0.11041666666666666</v>
      </c>
      <c r="R431" s="37"/>
      <c r="S431"/>
      <c r="T431"/>
      <c r="U431"/>
      <c r="V431"/>
      <c r="W431" s="30" t="s">
        <v>109</v>
      </c>
      <c r="X431"/>
    </row>
    <row r="432" spans="2:24">
      <c r="B432" s="154" t="s">
        <v>657</v>
      </c>
      <c r="D432" s="36">
        <v>0.46736111111111112</v>
      </c>
      <c r="E432" s="36">
        <v>0.46736111111111112</v>
      </c>
      <c r="F432" s="36">
        <v>0.59583333333333333</v>
      </c>
      <c r="G432" s="36">
        <v>0.59583333333333333</v>
      </c>
      <c r="H432" s="30" t="s">
        <v>38</v>
      </c>
      <c r="I432" s="37">
        <v>0.47430555555555554</v>
      </c>
      <c r="J432" s="30" t="s">
        <v>38</v>
      </c>
      <c r="K432" s="36">
        <v>0.58888888888888891</v>
      </c>
      <c r="L432" s="28" t="s">
        <v>223</v>
      </c>
      <c r="M432" s="36">
        <v>0.48125000000000001</v>
      </c>
      <c r="N432" s="37">
        <v>0.58333333333333337</v>
      </c>
      <c r="O432" s="37">
        <v>8.611111111111111E-2</v>
      </c>
      <c r="P432" s="39">
        <v>42</v>
      </c>
      <c r="Q432" s="36">
        <v>0.11458333333333333</v>
      </c>
      <c r="R432" s="37"/>
      <c r="S432"/>
      <c r="T432"/>
      <c r="U432"/>
      <c r="V432"/>
      <c r="W432" s="30" t="s">
        <v>109</v>
      </c>
      <c r="X432"/>
    </row>
    <row r="433" spans="2:24">
      <c r="B433" s="154" t="s">
        <v>673</v>
      </c>
      <c r="D433" s="36">
        <v>0.62361111111111112</v>
      </c>
      <c r="E433" s="36">
        <v>0.62361111111111112</v>
      </c>
      <c r="F433" s="36">
        <v>0.75555555555555554</v>
      </c>
      <c r="G433" s="36">
        <v>0.75555555555555554</v>
      </c>
      <c r="H433" s="30" t="s">
        <v>38</v>
      </c>
      <c r="I433" s="37">
        <v>0.63055555555555554</v>
      </c>
      <c r="J433" s="30" t="s">
        <v>38</v>
      </c>
      <c r="K433" s="36">
        <v>0.74861111111111112</v>
      </c>
      <c r="L433" s="28" t="s">
        <v>223</v>
      </c>
      <c r="M433" s="36">
        <v>0.63749999999999996</v>
      </c>
      <c r="N433" s="37">
        <v>0.7416666666666667</v>
      </c>
      <c r="O433" s="37">
        <v>8.611111111111111E-2</v>
      </c>
      <c r="P433" s="39">
        <v>42</v>
      </c>
      <c r="Q433" s="36">
        <v>0.11805555555555555</v>
      </c>
      <c r="R433" s="37"/>
      <c r="S433"/>
      <c r="T433"/>
      <c r="U433"/>
      <c r="V433"/>
      <c r="W433" s="30" t="s">
        <v>109</v>
      </c>
      <c r="X433"/>
    </row>
    <row r="434" spans="2:24">
      <c r="B434" s="154" t="s">
        <v>411</v>
      </c>
      <c r="C434" s="46"/>
      <c r="D434" s="31">
        <v>0.30833333333333335</v>
      </c>
      <c r="E434" s="31">
        <v>0.30833333333333335</v>
      </c>
      <c r="F434" s="36">
        <v>0.75555555555555554</v>
      </c>
      <c r="G434" s="36">
        <v>0.75555555555555554</v>
      </c>
      <c r="H434" s="30" t="s">
        <v>38</v>
      </c>
      <c r="I434" s="31">
        <v>0.31874999999999998</v>
      </c>
      <c r="J434" s="30" t="s">
        <v>38</v>
      </c>
      <c r="K434" s="31">
        <v>0.74861111111111112</v>
      </c>
      <c r="L434" s="28" t="s">
        <v>223</v>
      </c>
      <c r="M434" s="31">
        <v>0.3298611111111111</v>
      </c>
      <c r="N434" s="38">
        <v>0.7416666666666667</v>
      </c>
      <c r="O434" s="31">
        <v>0.25694444444444442</v>
      </c>
      <c r="P434" s="76">
        <v>126.1</v>
      </c>
      <c r="Q434" s="31">
        <v>0.36041666666666666</v>
      </c>
      <c r="R434" s="37"/>
      <c r="S434"/>
      <c r="T434"/>
      <c r="U434"/>
      <c r="V434"/>
      <c r="W434" s="30" t="s">
        <v>109</v>
      </c>
      <c r="X434"/>
    </row>
    <row r="435" spans="2:24">
      <c r="H435" s="30"/>
      <c r="J435" s="30"/>
      <c r="P435"/>
      <c r="Q435"/>
      <c r="R435" s="37"/>
      <c r="S435"/>
      <c r="T435"/>
      <c r="U435"/>
      <c r="V435"/>
      <c r="W435"/>
      <c r="X435"/>
    </row>
    <row r="436" spans="2:24">
      <c r="B436" s="135" t="s">
        <v>412</v>
      </c>
      <c r="D436" s="36">
        <v>0.22430555555555556</v>
      </c>
      <c r="E436" s="36">
        <v>0.22430555555555556</v>
      </c>
      <c r="F436" s="31" t="str">
        <f ca="1">IF($A$4="平日","8:30","9:43")</f>
        <v>8:30</v>
      </c>
      <c r="G436" s="31" t="str">
        <f ca="1">IF($A$4="平日","8:30","9:43")</f>
        <v>8:30</v>
      </c>
      <c r="H436" s="30" t="s">
        <v>38</v>
      </c>
      <c r="I436" s="37">
        <v>0.23472222222222222</v>
      </c>
      <c r="J436" s="30" t="s">
        <v>38</v>
      </c>
      <c r="K436" s="31" t="str">
        <f ca="1">IF($A$4="平日","8:20","9:33")</f>
        <v>8:20</v>
      </c>
      <c r="L436" s="28" t="s">
        <v>223</v>
      </c>
      <c r="M436" s="36">
        <v>0.24166666666666667</v>
      </c>
      <c r="N436" s="31" t="str">
        <f ca="1">IF($A$4="平日","8:10","9:25")</f>
        <v>8:10</v>
      </c>
      <c r="O436" s="31" t="str">
        <f ca="1">IF($A$4="平日","1:49","1:52")</f>
        <v>1:49</v>
      </c>
      <c r="P436" s="39">
        <f ca="1">IF($A$4="平日",40,41.2)</f>
        <v>40</v>
      </c>
      <c r="Q436" s="31" t="str">
        <f ca="1">IF($A$4="平日","3:07","4:20")</f>
        <v>3:07</v>
      </c>
      <c r="R436" s="37"/>
      <c r="S436"/>
      <c r="T436"/>
      <c r="U436"/>
      <c r="V436"/>
      <c r="W436" s="30" t="s">
        <v>109</v>
      </c>
      <c r="X436"/>
    </row>
    <row r="437" spans="2:24">
      <c r="B437" s="135" t="s">
        <v>413</v>
      </c>
      <c r="D437" s="36">
        <v>0.27430555555555558</v>
      </c>
      <c r="E437" s="36">
        <v>0.27430555555555558</v>
      </c>
      <c r="F437" s="31">
        <v>0.40486111111111112</v>
      </c>
      <c r="G437" s="36">
        <v>0.40486111111111112</v>
      </c>
      <c r="H437" s="30" t="s">
        <v>38</v>
      </c>
      <c r="I437" s="37">
        <v>0.28472222222222221</v>
      </c>
      <c r="J437" s="30" t="s">
        <v>38</v>
      </c>
      <c r="K437" s="36">
        <v>0.39791666666666664</v>
      </c>
      <c r="L437" s="28" t="s">
        <v>223</v>
      </c>
      <c r="M437" s="36">
        <v>0.29166666666666669</v>
      </c>
      <c r="N437" s="37">
        <v>0.3923611111111111</v>
      </c>
      <c r="O437" s="37">
        <v>8.3333333333333329E-2</v>
      </c>
      <c r="P437" s="39">
        <v>42.3</v>
      </c>
      <c r="Q437" s="36">
        <v>0.13055555555555556</v>
      </c>
      <c r="R437" s="37"/>
      <c r="S437"/>
      <c r="T437"/>
      <c r="U437"/>
      <c r="V437"/>
      <c r="W437" s="30" t="s">
        <v>109</v>
      </c>
      <c r="X437"/>
    </row>
    <row r="438" spans="2:24">
      <c r="B438" s="135" t="s">
        <v>414</v>
      </c>
      <c r="D438" s="36">
        <v>0.27638888888888891</v>
      </c>
      <c r="E438" s="36">
        <v>0.27638888888888891</v>
      </c>
      <c r="F438" s="36">
        <v>0.40486111111111112</v>
      </c>
      <c r="G438" s="36">
        <v>0.40486111111111112</v>
      </c>
      <c r="H438" s="30" t="s">
        <v>38</v>
      </c>
      <c r="I438" s="37">
        <v>0.28680555555555554</v>
      </c>
      <c r="J438" s="30" t="s">
        <v>38</v>
      </c>
      <c r="K438" s="36">
        <v>0.39791666666666664</v>
      </c>
      <c r="L438" s="28" t="s">
        <v>223</v>
      </c>
      <c r="M438" s="36">
        <v>0.29375000000000001</v>
      </c>
      <c r="N438" s="37">
        <v>0.3923611111111111</v>
      </c>
      <c r="O438" s="37">
        <v>8.3333333333333329E-2</v>
      </c>
      <c r="P438" s="39">
        <v>42.3</v>
      </c>
      <c r="Q438" s="36">
        <v>0.12847222222222221</v>
      </c>
      <c r="R438" s="37"/>
      <c r="T438"/>
      <c r="U438"/>
      <c r="V438"/>
      <c r="W438" s="30" t="s">
        <v>109</v>
      </c>
      <c r="X438"/>
    </row>
    <row r="439" spans="2:24">
      <c r="B439" s="135" t="s">
        <v>415</v>
      </c>
      <c r="D439" s="36">
        <v>0.3125</v>
      </c>
      <c r="E439" s="36">
        <v>0.3125</v>
      </c>
      <c r="F439" s="36">
        <v>0.44305555555555554</v>
      </c>
      <c r="G439" s="36">
        <v>0.44305555555555554</v>
      </c>
      <c r="H439" s="30" t="s">
        <v>38</v>
      </c>
      <c r="I439" s="37">
        <v>0.32291666666666669</v>
      </c>
      <c r="J439" s="30" t="s">
        <v>38</v>
      </c>
      <c r="K439" s="36">
        <v>0.43611111111111112</v>
      </c>
      <c r="L439" s="15" t="s">
        <v>224</v>
      </c>
      <c r="M439" s="36">
        <v>0.3298611111111111</v>
      </c>
      <c r="N439" s="37">
        <v>0.43055555555555558</v>
      </c>
      <c r="O439" s="37">
        <v>8.4722222222222227E-2</v>
      </c>
      <c r="P439" s="39">
        <v>41.5</v>
      </c>
      <c r="Q439" s="36">
        <v>0.13055555555555556</v>
      </c>
      <c r="R439" s="37"/>
      <c r="T439"/>
      <c r="U439"/>
      <c r="V439"/>
      <c r="W439" s="30" t="s">
        <v>109</v>
      </c>
      <c r="X439"/>
    </row>
    <row r="440" spans="2:24">
      <c r="B440" s="135" t="s">
        <v>416</v>
      </c>
      <c r="D440" s="36">
        <v>0.34166666666666667</v>
      </c>
      <c r="E440" s="36">
        <v>0.34166666666666667</v>
      </c>
      <c r="F440" s="36">
        <v>0.5229166666666667</v>
      </c>
      <c r="G440" s="36">
        <v>0.5229166666666667</v>
      </c>
      <c r="H440" s="30" t="s">
        <v>38</v>
      </c>
      <c r="I440" s="37">
        <v>0.35208333333333336</v>
      </c>
      <c r="J440" s="30" t="s">
        <v>38</v>
      </c>
      <c r="K440" s="36">
        <v>0.51597222222222228</v>
      </c>
      <c r="L440" s="28" t="s">
        <v>223</v>
      </c>
      <c r="M440" s="36">
        <v>0.36319444444444443</v>
      </c>
      <c r="N440" s="37">
        <v>0.51041666666666663</v>
      </c>
      <c r="O440" s="37">
        <v>8.4722222222222227E-2</v>
      </c>
      <c r="P440" s="39">
        <v>41.5</v>
      </c>
      <c r="Q440" s="36">
        <v>0.18124999999999999</v>
      </c>
      <c r="R440" s="37"/>
      <c r="T440"/>
      <c r="U440"/>
      <c r="V440"/>
      <c r="W440" s="30" t="s">
        <v>109</v>
      </c>
      <c r="X440"/>
    </row>
    <row r="441" spans="2:24">
      <c r="B441" s="135" t="s">
        <v>417</v>
      </c>
      <c r="D441" s="36">
        <v>0.34375</v>
      </c>
      <c r="E441" s="36">
        <v>0.34375</v>
      </c>
      <c r="F441" s="36">
        <v>0.52986111111111112</v>
      </c>
      <c r="G441" s="36">
        <v>0.52986111111111112</v>
      </c>
      <c r="H441" s="30" t="s">
        <v>38</v>
      </c>
      <c r="I441" s="37">
        <v>0.35416666666666669</v>
      </c>
      <c r="J441" s="30" t="s">
        <v>38</v>
      </c>
      <c r="K441" s="36">
        <v>0.5229166666666667</v>
      </c>
      <c r="L441" s="28" t="s">
        <v>223</v>
      </c>
      <c r="M441" s="36">
        <v>0.3611111111111111</v>
      </c>
      <c r="N441" s="37">
        <v>0.51736111111111116</v>
      </c>
      <c r="O441" s="37">
        <v>8.6111111111111124E-2</v>
      </c>
      <c r="P441" s="39">
        <v>42.3</v>
      </c>
      <c r="Q441" s="36">
        <v>0.18611111111111112</v>
      </c>
      <c r="R441" s="37"/>
      <c r="T441"/>
      <c r="U441"/>
      <c r="V441"/>
      <c r="W441" s="30" t="s">
        <v>109</v>
      </c>
      <c r="X441"/>
    </row>
    <row r="442" spans="2:24">
      <c r="B442" s="135" t="s">
        <v>418</v>
      </c>
      <c r="D442" s="36">
        <v>0.34583333333333333</v>
      </c>
      <c r="E442" s="36">
        <v>0.34583333333333333</v>
      </c>
      <c r="F442" s="36">
        <v>0.52986111111111112</v>
      </c>
      <c r="G442" s="36">
        <v>0.52986111111111112</v>
      </c>
      <c r="H442" s="30" t="s">
        <v>38</v>
      </c>
      <c r="I442" s="37">
        <v>0.35625000000000001</v>
      </c>
      <c r="J442" s="30" t="s">
        <v>38</v>
      </c>
      <c r="K442" s="36">
        <v>0.5229166666666667</v>
      </c>
      <c r="L442" s="28" t="s">
        <v>223</v>
      </c>
      <c r="M442" s="36">
        <v>0.36319444444444443</v>
      </c>
      <c r="N442" s="37">
        <v>0.51736111111111116</v>
      </c>
      <c r="O442" s="37">
        <v>8.611111111111111E-2</v>
      </c>
      <c r="P442" s="39">
        <v>42.3</v>
      </c>
      <c r="Q442" s="36">
        <v>0.18402777777777779</v>
      </c>
      <c r="R442" s="37"/>
      <c r="T442"/>
      <c r="U442"/>
      <c r="V442"/>
      <c r="W442" s="30" t="s">
        <v>109</v>
      </c>
      <c r="X442"/>
    </row>
    <row r="443" spans="2:24">
      <c r="B443" s="135" t="s">
        <v>419</v>
      </c>
      <c r="D443" s="36">
        <v>0.3923611111111111</v>
      </c>
      <c r="E443" s="36">
        <v>0.3923611111111111</v>
      </c>
      <c r="F443" s="36">
        <v>0.60624999999999996</v>
      </c>
      <c r="G443" s="36">
        <v>0.60624999999999996</v>
      </c>
      <c r="H443" s="30" t="s">
        <v>38</v>
      </c>
      <c r="I443" s="37">
        <v>0.40277777777777779</v>
      </c>
      <c r="J443" s="30" t="s">
        <v>38</v>
      </c>
      <c r="K443" s="36">
        <v>0.59930555555555554</v>
      </c>
      <c r="L443" s="28" t="s">
        <v>223</v>
      </c>
      <c r="M443" s="36">
        <v>0.40833333333333333</v>
      </c>
      <c r="N443" s="37">
        <v>0.59375</v>
      </c>
      <c r="O443" s="37">
        <v>7.9166666666666663E-2</v>
      </c>
      <c r="P443" s="39">
        <v>40.799999999999997</v>
      </c>
      <c r="Q443" s="36">
        <v>0.21388888888888888</v>
      </c>
      <c r="R443" s="37"/>
      <c r="S443"/>
      <c r="T443"/>
      <c r="U443"/>
      <c r="V443"/>
      <c r="W443" s="30" t="s">
        <v>109</v>
      </c>
      <c r="X443"/>
    </row>
    <row r="444" spans="2:24">
      <c r="B444" s="135" t="s">
        <v>420</v>
      </c>
      <c r="D444" s="36">
        <v>0.39305555555555555</v>
      </c>
      <c r="E444" s="36">
        <v>0.39305555555555555</v>
      </c>
      <c r="F444" s="36">
        <v>0.51249999999999996</v>
      </c>
      <c r="G444" s="36">
        <v>0.51249999999999996</v>
      </c>
      <c r="H444" s="30" t="s">
        <v>589</v>
      </c>
      <c r="I444" s="37">
        <v>0.40347222222222223</v>
      </c>
      <c r="J444" s="30" t="s">
        <v>589</v>
      </c>
      <c r="K444" s="36">
        <v>0.50555555555555554</v>
      </c>
      <c r="L444" s="28" t="s">
        <v>590</v>
      </c>
      <c r="M444" s="36">
        <v>0.41041666666666665</v>
      </c>
      <c r="N444" s="37">
        <v>0.5</v>
      </c>
      <c r="O444" s="37">
        <v>8.611111111111111E-2</v>
      </c>
      <c r="P444" s="39">
        <v>42.3</v>
      </c>
      <c r="Q444" s="36">
        <f>F444-D444</f>
        <v>0.11944444444444441</v>
      </c>
      <c r="R444" s="37"/>
      <c r="S444"/>
      <c r="T444"/>
      <c r="U444"/>
      <c r="V444"/>
      <c r="W444" s="30" t="s">
        <v>109</v>
      </c>
      <c r="X444"/>
    </row>
    <row r="445" spans="2:24">
      <c r="B445" s="135" t="s">
        <v>421</v>
      </c>
      <c r="D445" s="36">
        <v>0.46319444444444446</v>
      </c>
      <c r="E445" s="36">
        <v>0.46319444444444446</v>
      </c>
      <c r="F445" s="36">
        <v>0.66527777777777775</v>
      </c>
      <c r="G445" s="36">
        <v>0.66527777777777775</v>
      </c>
      <c r="H445" s="30" t="s">
        <v>38</v>
      </c>
      <c r="I445" s="37">
        <v>0.47361111111111109</v>
      </c>
      <c r="J445" s="30" t="s">
        <v>38</v>
      </c>
      <c r="K445" s="36">
        <v>0.65833333333333333</v>
      </c>
      <c r="L445" s="28" t="s">
        <v>223</v>
      </c>
      <c r="M445" s="36">
        <v>0.47916666666666669</v>
      </c>
      <c r="N445" s="37">
        <v>0.65277777777777779</v>
      </c>
      <c r="O445" s="37">
        <v>7.9166666666666663E-2</v>
      </c>
      <c r="P445" s="39">
        <v>40.799999999999997</v>
      </c>
      <c r="Q445" s="36">
        <f>F445-D445</f>
        <v>0.20208333333333328</v>
      </c>
      <c r="R445" s="37"/>
      <c r="S445"/>
      <c r="T445"/>
      <c r="U445"/>
      <c r="V445"/>
      <c r="W445" s="30" t="s">
        <v>109</v>
      </c>
      <c r="X445"/>
    </row>
    <row r="446" spans="2:24">
      <c r="B446" s="135" t="s">
        <v>422</v>
      </c>
      <c r="D446" s="36">
        <v>0.55000000000000004</v>
      </c>
      <c r="E446" s="36">
        <v>0.55000000000000004</v>
      </c>
      <c r="F446" s="36">
        <v>0.75208333333333333</v>
      </c>
      <c r="G446" s="36">
        <v>0.75208333333333333</v>
      </c>
      <c r="H446" s="30" t="s">
        <v>38</v>
      </c>
      <c r="I446" s="37">
        <v>0.56041666666666667</v>
      </c>
      <c r="J446" s="30" t="s">
        <v>38</v>
      </c>
      <c r="K446" s="36">
        <v>0.74513888888888891</v>
      </c>
      <c r="L446" s="28" t="s">
        <v>223</v>
      </c>
      <c r="M446" s="36">
        <v>0.56597222222222221</v>
      </c>
      <c r="N446" s="37">
        <v>0.73819444444444449</v>
      </c>
      <c r="O446" s="37">
        <v>7.9166666666666663E-2</v>
      </c>
      <c r="P446" s="39">
        <v>40.799999999999997</v>
      </c>
      <c r="Q446" s="36">
        <f>F446-D446</f>
        <v>0.20208333333333328</v>
      </c>
      <c r="R446" s="37"/>
      <c r="S446"/>
      <c r="T446"/>
      <c r="U446"/>
      <c r="V446"/>
      <c r="W446" s="30" t="s">
        <v>109</v>
      </c>
      <c r="X446"/>
    </row>
    <row r="447" spans="2:24">
      <c r="B447" s="135" t="s">
        <v>423</v>
      </c>
      <c r="D447" s="36">
        <v>0.54652777777777772</v>
      </c>
      <c r="E447" s="36">
        <v>0.54652777777777772</v>
      </c>
      <c r="F447" s="36">
        <v>0.75208333333333333</v>
      </c>
      <c r="G447" s="36">
        <v>0.75208333333333333</v>
      </c>
      <c r="H447" s="30" t="s">
        <v>38</v>
      </c>
      <c r="I447" s="37">
        <v>0.55694444444444446</v>
      </c>
      <c r="J447" s="30" t="s">
        <v>38</v>
      </c>
      <c r="K447" s="36">
        <v>0.74513888888888891</v>
      </c>
      <c r="L447" s="28" t="s">
        <v>223</v>
      </c>
      <c r="M447" s="36">
        <v>0.56388888888888888</v>
      </c>
      <c r="N447" s="37">
        <v>0.73819444444444449</v>
      </c>
      <c r="O447" s="37">
        <v>8.4722222222222227E-2</v>
      </c>
      <c r="P447" s="39">
        <v>41.5</v>
      </c>
      <c r="Q447" s="36">
        <f t="shared" ref="Q447:Q448" si="3">F447-D447</f>
        <v>0.2055555555555556</v>
      </c>
      <c r="R447" s="37"/>
      <c r="S447"/>
      <c r="T447"/>
      <c r="U447"/>
      <c r="V447"/>
      <c r="W447" s="30" t="s">
        <v>109</v>
      </c>
      <c r="X447"/>
    </row>
    <row r="448" spans="2:24">
      <c r="B448" s="135" t="s">
        <v>424</v>
      </c>
      <c r="D448" s="36">
        <v>0.54861111111111116</v>
      </c>
      <c r="E448" s="36">
        <v>0.54861111111111116</v>
      </c>
      <c r="F448" s="36">
        <v>0.67222222222222228</v>
      </c>
      <c r="G448" s="36">
        <v>0.67222222222222228</v>
      </c>
      <c r="H448" s="30" t="s">
        <v>38</v>
      </c>
      <c r="I448" s="37">
        <v>0.55902777777777779</v>
      </c>
      <c r="J448" s="30" t="s">
        <v>38</v>
      </c>
      <c r="K448" s="36">
        <v>0.66527777777777775</v>
      </c>
      <c r="L448" s="28" t="s">
        <v>223</v>
      </c>
      <c r="M448" s="36">
        <v>0.56597222222222221</v>
      </c>
      <c r="N448" s="37">
        <v>0.65972222222222221</v>
      </c>
      <c r="O448" s="37">
        <v>8.4722222222222227E-2</v>
      </c>
      <c r="P448" s="39">
        <v>41.5</v>
      </c>
      <c r="Q448" s="36">
        <f t="shared" si="3"/>
        <v>0.12361111111111112</v>
      </c>
      <c r="R448" s="37"/>
      <c r="S448"/>
      <c r="T448"/>
      <c r="U448"/>
      <c r="V448"/>
      <c r="W448" s="30" t="s">
        <v>109</v>
      </c>
      <c r="X448"/>
    </row>
    <row r="449" spans="2:29">
      <c r="B449" s="135" t="s">
        <v>425</v>
      </c>
      <c r="D449" s="36">
        <v>0.61944444444444446</v>
      </c>
      <c r="E449" s="36">
        <v>0.61944444444444446</v>
      </c>
      <c r="F449" s="36">
        <v>0.83888888888888891</v>
      </c>
      <c r="G449" s="36">
        <v>0.83888888888888891</v>
      </c>
      <c r="H449" s="30" t="s">
        <v>38</v>
      </c>
      <c r="I449" s="37">
        <v>0.62986111111111109</v>
      </c>
      <c r="J449" s="30" t="s">
        <v>38</v>
      </c>
      <c r="K449" s="36">
        <v>0.83194444444444449</v>
      </c>
      <c r="L449" s="28" t="s">
        <v>223</v>
      </c>
      <c r="M449" s="36">
        <v>0.63541666666666663</v>
      </c>
      <c r="N449" s="37">
        <v>0.82499999999999996</v>
      </c>
      <c r="O449" s="37">
        <v>7.9166666666666663E-2</v>
      </c>
      <c r="P449" s="39">
        <v>40.799999999999997</v>
      </c>
      <c r="Q449" s="36">
        <f>F449-D449</f>
        <v>0.21944444444444444</v>
      </c>
      <c r="R449" s="37"/>
      <c r="S449"/>
      <c r="T449"/>
      <c r="U449"/>
      <c r="V449"/>
      <c r="W449" s="30" t="s">
        <v>109</v>
      </c>
      <c r="X449"/>
    </row>
    <row r="450" spans="2:29">
      <c r="B450" s="135" t="s">
        <v>426</v>
      </c>
      <c r="D450" s="36">
        <v>0.72291666666666665</v>
      </c>
      <c r="E450" s="36">
        <v>0.72291666666666665</v>
      </c>
      <c r="F450" s="36">
        <v>0.89930555555555558</v>
      </c>
      <c r="G450" s="36">
        <v>0.89930555555555558</v>
      </c>
      <c r="H450" s="30" t="s">
        <v>38</v>
      </c>
      <c r="I450" s="37">
        <v>0.73333333333333328</v>
      </c>
      <c r="J450" s="30" t="s">
        <v>38</v>
      </c>
      <c r="K450" s="36">
        <v>0.89236111111111116</v>
      </c>
      <c r="L450" s="28" t="s">
        <v>223</v>
      </c>
      <c r="M450" s="36">
        <v>0.74027777777777781</v>
      </c>
      <c r="N450" s="37">
        <v>0.88541666666666663</v>
      </c>
      <c r="O450" s="37">
        <v>9.0972222222222218E-2</v>
      </c>
      <c r="P450" s="39">
        <v>41.9</v>
      </c>
      <c r="Q450" s="36">
        <f>F450-D450</f>
        <v>0.17638888888888893</v>
      </c>
      <c r="R450" s="37"/>
      <c r="S450"/>
      <c r="T450"/>
      <c r="U450"/>
      <c r="V450"/>
      <c r="W450" s="30" t="s">
        <v>109</v>
      </c>
      <c r="X450"/>
    </row>
    <row r="451" spans="2:29">
      <c r="B451" s="135" t="s">
        <v>427</v>
      </c>
      <c r="D451" s="36">
        <v>0.76041666666666663</v>
      </c>
      <c r="E451" s="36">
        <v>0.76041666666666663</v>
      </c>
      <c r="F451" s="36">
        <v>0.89583333333333337</v>
      </c>
      <c r="G451" s="36">
        <v>0.89583333333333337</v>
      </c>
      <c r="H451" s="30" t="s">
        <v>38</v>
      </c>
      <c r="I451" s="37">
        <v>0.77083333333333337</v>
      </c>
      <c r="J451" s="30" t="s">
        <v>38</v>
      </c>
      <c r="K451" s="36">
        <v>0.88888888888888884</v>
      </c>
      <c r="L451" s="28" t="s">
        <v>223</v>
      </c>
      <c r="M451" s="36">
        <v>0.77777777777777779</v>
      </c>
      <c r="N451" s="37">
        <v>0.88194444444444442</v>
      </c>
      <c r="O451" s="37">
        <v>8.7499999999999994E-2</v>
      </c>
      <c r="P451" s="39">
        <v>41.1</v>
      </c>
      <c r="Q451" s="36">
        <f>F451-D451</f>
        <v>0.13541666666666674</v>
      </c>
      <c r="R451" s="37"/>
      <c r="S451"/>
      <c r="T451"/>
      <c r="U451"/>
      <c r="V451"/>
      <c r="W451" s="30" t="s">
        <v>109</v>
      </c>
      <c r="X451"/>
    </row>
    <row r="452" spans="2:29">
      <c r="B452" s="135" t="s">
        <v>428</v>
      </c>
      <c r="D452" s="36">
        <v>0.76249999999999996</v>
      </c>
      <c r="E452" s="36">
        <v>0.76249999999999996</v>
      </c>
      <c r="F452" s="36">
        <v>0.89583333333333337</v>
      </c>
      <c r="G452" s="36">
        <v>0.89583333333333337</v>
      </c>
      <c r="H452" s="30" t="s">
        <v>38</v>
      </c>
      <c r="I452" s="37">
        <v>0.7729166666666667</v>
      </c>
      <c r="J452" s="30" t="s">
        <v>38</v>
      </c>
      <c r="K452" s="37">
        <v>0.88888888888888884</v>
      </c>
      <c r="M452" s="36">
        <v>0.77986111111111112</v>
      </c>
      <c r="N452" s="37">
        <v>0.88194444444444442</v>
      </c>
      <c r="O452" s="37">
        <v>9.0972222222222218E-2</v>
      </c>
      <c r="P452" s="39">
        <v>41.9</v>
      </c>
      <c r="Q452" s="36">
        <f>F452-D452</f>
        <v>0.13333333333333341</v>
      </c>
      <c r="R452" s="37"/>
      <c r="S452"/>
      <c r="T452"/>
      <c r="U452"/>
      <c r="V452"/>
      <c r="W452" s="30" t="s">
        <v>109</v>
      </c>
      <c r="X452"/>
    </row>
    <row r="453" spans="2:29">
      <c r="B453" s="135" t="s">
        <v>429</v>
      </c>
      <c r="D453" s="31" t="str">
        <f ca="1">IF($A$4="平日","17:45","20:25")</f>
        <v>17:45</v>
      </c>
      <c r="E453" s="31" t="str">
        <f ca="1">IF($A$4="平日","17:45","20:25")</f>
        <v>17:45</v>
      </c>
      <c r="F453" s="31">
        <v>0.95138888888888884</v>
      </c>
      <c r="G453" s="31">
        <v>0.95138888888888884</v>
      </c>
      <c r="H453" s="30" t="s">
        <v>38</v>
      </c>
      <c r="I453" s="31" t="str">
        <f ca="1">IF($A$4="平日","18:00","20:40")</f>
        <v>18:00</v>
      </c>
      <c r="J453" s="30" t="s">
        <v>38</v>
      </c>
      <c r="K453" s="36">
        <v>0.94444444444444442</v>
      </c>
      <c r="L453" s="28" t="s">
        <v>223</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109</v>
      </c>
      <c r="X453" s="37"/>
      <c r="Y453" s="37"/>
      <c r="Z453" s="37"/>
      <c r="AA453" s="37"/>
      <c r="AC453" s="37"/>
    </row>
    <row r="454" spans="2:29">
      <c r="B454" s="135"/>
      <c r="C454" s="135"/>
      <c r="D454" s="31"/>
      <c r="E454" s="31"/>
      <c r="F454" s="31"/>
      <c r="G454" s="31"/>
      <c r="H454" s="30"/>
      <c r="I454" s="31"/>
      <c r="J454" s="30"/>
      <c r="L454" s="28"/>
      <c r="M454" s="31"/>
      <c r="P454" s="39"/>
      <c r="Q454" s="36"/>
      <c r="R454" s="37"/>
      <c r="S454"/>
      <c r="T454"/>
      <c r="U454"/>
      <c r="V454"/>
      <c r="W454" s="30" t="s">
        <v>109</v>
      </c>
      <c r="X454" s="37"/>
      <c r="Y454" s="37"/>
      <c r="Z454" s="37"/>
      <c r="AA454" s="37"/>
      <c r="AC454" s="37"/>
    </row>
    <row r="455" spans="2:29">
      <c r="B455" s="135"/>
      <c r="C455" s="135"/>
      <c r="D455" s="31"/>
      <c r="E455" s="31"/>
      <c r="F455" s="31"/>
      <c r="G455" s="31"/>
      <c r="H455" s="30"/>
      <c r="I455" s="31"/>
      <c r="J455" s="30"/>
      <c r="L455" s="28"/>
      <c r="M455" s="31"/>
      <c r="O455" s="31"/>
      <c r="P455" s="39"/>
      <c r="Q455" s="31"/>
      <c r="R455" s="37"/>
      <c r="S455"/>
      <c r="T455"/>
      <c r="U455"/>
      <c r="V455"/>
      <c r="W455" s="30" t="s">
        <v>109</v>
      </c>
      <c r="X455" s="37"/>
      <c r="Y455" s="37"/>
      <c r="Z455" s="37"/>
      <c r="AA455" s="37"/>
      <c r="AC455" s="37"/>
    </row>
    <row r="456" spans="2:29">
      <c r="L456" s="28" t="s">
        <v>223</v>
      </c>
      <c r="P456"/>
      <c r="Q456"/>
      <c r="R456" s="37" t="str">
        <f>IF(F456-$R$67&gt;0,F456-$R$67,"")</f>
        <v/>
      </c>
      <c r="S456"/>
      <c r="T456"/>
      <c r="U456"/>
      <c r="V456"/>
      <c r="W456"/>
      <c r="X456" t="s">
        <v>228</v>
      </c>
      <c r="Y456" t="s">
        <v>229</v>
      </c>
      <c r="Z456" t="s">
        <v>230</v>
      </c>
      <c r="AA456" t="s">
        <v>40</v>
      </c>
      <c r="AB456" s="27" t="s">
        <v>432</v>
      </c>
      <c r="AC456" t="s">
        <v>238</v>
      </c>
    </row>
    <row r="457" spans="2:29">
      <c r="B457" t="s">
        <v>470</v>
      </c>
      <c r="D457" s="37">
        <f t="shared" ref="D457:D462" si="4">M457-$X457</f>
        <v>0.42708333333333337</v>
      </c>
      <c r="E457" s="37">
        <f t="shared" ref="E457:E462" si="5">M457-$X457</f>
        <v>0.42708333333333337</v>
      </c>
      <c r="F457" s="36">
        <f t="shared" ref="F457:F462" si="6">N457+Y457</f>
        <v>0.52986111111111112</v>
      </c>
      <c r="G457" s="36">
        <f t="shared" ref="G457:G462" si="7">N457+Y457</f>
        <v>0.52986111111111112</v>
      </c>
      <c r="H457" s="30" t="s">
        <v>38</v>
      </c>
      <c r="I457" s="37">
        <f t="shared" ref="I457:I462" si="8">D457+Z457</f>
        <v>0.43750000000000006</v>
      </c>
      <c r="J457" s="30" t="s">
        <v>38</v>
      </c>
      <c r="K457" s="36">
        <f t="shared" ref="K457:K462" si="9">N457+AA457</f>
        <v>0.5229166666666667</v>
      </c>
      <c r="L457" s="28" t="s">
        <v>223</v>
      </c>
      <c r="M457" s="36">
        <v>0.47916666666666669</v>
      </c>
      <c r="N457" s="37">
        <v>0.51597222222222228</v>
      </c>
      <c r="O457" s="37">
        <f t="shared" ref="O457:O462" si="10">N457-M457+AC457</f>
        <v>7.1527777777777815E-2</v>
      </c>
      <c r="P457">
        <v>39.299999999999997</v>
      </c>
      <c r="Q457" s="36">
        <f t="shared" ref="Q457:Q462" si="11">F457-D457</f>
        <v>0.10277777777777775</v>
      </c>
      <c r="R457" s="37"/>
      <c r="S457"/>
      <c r="T457"/>
      <c r="U457"/>
      <c r="V457"/>
      <c r="W457" s="30" t="s">
        <v>185</v>
      </c>
      <c r="X457" s="37">
        <v>5.2083333333333336E-2</v>
      </c>
      <c r="Y457" s="37">
        <v>1.3888888888888888E-2</v>
      </c>
      <c r="Z457" s="37">
        <v>1.0416666666666666E-2</v>
      </c>
      <c r="AA457" s="37">
        <v>6.9444444444444441E-3</v>
      </c>
      <c r="AB457" s="37">
        <v>3.6805555555555557E-2</v>
      </c>
      <c r="AC457" s="37">
        <v>3.4722222222222224E-2</v>
      </c>
    </row>
    <row r="458" spans="2:29">
      <c r="B458" t="s">
        <v>433</v>
      </c>
      <c r="D458" s="37">
        <f t="shared" si="4"/>
        <v>0.48958333333333331</v>
      </c>
      <c r="E458" s="37">
        <f t="shared" si="5"/>
        <v>0.48958333333333331</v>
      </c>
      <c r="F458" s="36">
        <f t="shared" si="6"/>
        <v>0.59236111111111112</v>
      </c>
      <c r="G458" s="36">
        <f t="shared" si="7"/>
        <v>0.59236111111111112</v>
      </c>
      <c r="H458" s="30" t="s">
        <v>38</v>
      </c>
      <c r="I458" s="37">
        <f t="shared" si="8"/>
        <v>0.5</v>
      </c>
      <c r="J458" s="30" t="s">
        <v>38</v>
      </c>
      <c r="K458" s="36">
        <f t="shared" si="9"/>
        <v>0.5854166666666667</v>
      </c>
      <c r="L458" s="28" t="s">
        <v>223</v>
      </c>
      <c r="M458" s="36">
        <v>0.54166666666666663</v>
      </c>
      <c r="N458" s="37">
        <v>0.57847222222222228</v>
      </c>
      <c r="O458" s="37">
        <f t="shared" si="10"/>
        <v>7.1527777777777871E-2</v>
      </c>
      <c r="P458">
        <v>39.299999999999997</v>
      </c>
      <c r="Q458" s="36">
        <f t="shared" si="11"/>
        <v>0.1027777777777778</v>
      </c>
      <c r="R458" s="37"/>
      <c r="S458"/>
      <c r="T458"/>
      <c r="U458"/>
      <c r="V458"/>
      <c r="W458" s="30" t="s">
        <v>185</v>
      </c>
      <c r="X458" s="37">
        <v>5.2083333333333336E-2</v>
      </c>
      <c r="Y458" s="37">
        <v>1.3888888888888888E-2</v>
      </c>
      <c r="Z458" s="37">
        <v>1.0416666666666666E-2</v>
      </c>
      <c r="AA458" s="37">
        <v>6.9444444444444441E-3</v>
      </c>
      <c r="AB458" s="37">
        <v>3.6805555555555557E-2</v>
      </c>
      <c r="AC458" s="37">
        <v>3.4722222222222224E-2</v>
      </c>
    </row>
    <row r="459" spans="2:29">
      <c r="B459" t="s">
        <v>466</v>
      </c>
      <c r="D459" s="37">
        <f t="shared" si="4"/>
        <v>0.5625</v>
      </c>
      <c r="E459" s="37">
        <f t="shared" si="5"/>
        <v>0.5625</v>
      </c>
      <c r="F459" s="36">
        <f t="shared" si="6"/>
        <v>0.66527777777777775</v>
      </c>
      <c r="G459" s="36">
        <f t="shared" si="7"/>
        <v>0.66527777777777775</v>
      </c>
      <c r="H459" s="30" t="s">
        <v>38</v>
      </c>
      <c r="I459" s="37">
        <f t="shared" si="8"/>
        <v>0.57291666666666663</v>
      </c>
      <c r="J459" s="30" t="s">
        <v>38</v>
      </c>
      <c r="K459" s="36">
        <f t="shared" si="9"/>
        <v>0.65833333333333333</v>
      </c>
      <c r="L459" s="28" t="s">
        <v>223</v>
      </c>
      <c r="M459" s="36">
        <v>0.61458333333333337</v>
      </c>
      <c r="N459" s="37">
        <v>0.65138888888888891</v>
      </c>
      <c r="O459" s="37">
        <f t="shared" si="10"/>
        <v>7.152777777777776E-2</v>
      </c>
      <c r="P459">
        <v>39.299999999999997</v>
      </c>
      <c r="Q459" s="36">
        <f t="shared" si="11"/>
        <v>0.10277777777777775</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t="s">
        <v>471</v>
      </c>
      <c r="D460" s="37">
        <f t="shared" si="4"/>
        <v>0.63541666666666663</v>
      </c>
      <c r="E460" s="37">
        <f t="shared" si="5"/>
        <v>0.63541666666666663</v>
      </c>
      <c r="F460" s="36">
        <f t="shared" si="6"/>
        <v>0.73819444444444438</v>
      </c>
      <c r="G460" s="36">
        <f t="shared" si="7"/>
        <v>0.73819444444444438</v>
      </c>
      <c r="H460" s="30" t="s">
        <v>38</v>
      </c>
      <c r="I460" s="37">
        <f t="shared" si="8"/>
        <v>0.64583333333333326</v>
      </c>
      <c r="J460" s="30" t="s">
        <v>38</v>
      </c>
      <c r="K460" s="36">
        <f t="shared" si="9"/>
        <v>0.73124999999999996</v>
      </c>
      <c r="L460" s="28" t="s">
        <v>223</v>
      </c>
      <c r="M460" s="36">
        <v>0.6875</v>
      </c>
      <c r="N460" s="37">
        <v>0.72430555555555554</v>
      </c>
      <c r="O460" s="37">
        <f t="shared" si="10"/>
        <v>7.152777777777776E-2</v>
      </c>
      <c r="P460">
        <v>39.299999999999997</v>
      </c>
      <c r="Q460" s="36">
        <f t="shared" si="11"/>
        <v>0.10277777777777775</v>
      </c>
      <c r="R460" s="37"/>
      <c r="S460"/>
      <c r="T460"/>
      <c r="U460"/>
      <c r="V460"/>
      <c r="W460" s="30" t="s">
        <v>185</v>
      </c>
      <c r="X460" s="37">
        <v>5.2083333333333336E-2</v>
      </c>
      <c r="Y460" s="37">
        <v>1.3888888888888888E-2</v>
      </c>
      <c r="Z460" s="37">
        <v>1.0416666666666666E-2</v>
      </c>
      <c r="AA460" s="37">
        <v>6.9444444444444441E-3</v>
      </c>
      <c r="AB460" s="37">
        <v>3.6805555555555557E-2</v>
      </c>
      <c r="AC460" s="37">
        <v>3.4722222222222224E-2</v>
      </c>
    </row>
    <row r="461" spans="2:29">
      <c r="B461" t="s">
        <v>467</v>
      </c>
      <c r="D461" s="37">
        <f t="shared" si="4"/>
        <v>0.73611111111111105</v>
      </c>
      <c r="E461" s="37">
        <f t="shared" si="5"/>
        <v>0.73611111111111105</v>
      </c>
      <c r="F461" s="36">
        <f t="shared" si="6"/>
        <v>0.8388888888888888</v>
      </c>
      <c r="G461" s="36">
        <f t="shared" si="7"/>
        <v>0.8388888888888888</v>
      </c>
      <c r="H461" s="30" t="s">
        <v>38</v>
      </c>
      <c r="I461" s="37">
        <f t="shared" si="8"/>
        <v>0.74652777777777768</v>
      </c>
      <c r="J461" s="30" t="s">
        <v>38</v>
      </c>
      <c r="K461" s="36">
        <f t="shared" si="9"/>
        <v>0.83194444444444438</v>
      </c>
      <c r="L461" s="28" t="s">
        <v>223</v>
      </c>
      <c r="M461" s="36">
        <v>0.78819444444444442</v>
      </c>
      <c r="N461" s="37">
        <v>0.82499999999999996</v>
      </c>
      <c r="O461" s="37">
        <f t="shared" si="10"/>
        <v>7.152777777777776E-2</v>
      </c>
      <c r="P461">
        <v>39.299999999999997</v>
      </c>
      <c r="Q461" s="36">
        <f t="shared" si="11"/>
        <v>0.10277777777777775</v>
      </c>
      <c r="R461" s="37"/>
      <c r="S461"/>
      <c r="T461"/>
      <c r="U461"/>
      <c r="V461"/>
      <c r="W461" s="30" t="s">
        <v>185</v>
      </c>
      <c r="X461" s="37">
        <v>5.2083333333333336E-2</v>
      </c>
      <c r="Y461" s="37">
        <v>1.3888888888888888E-2</v>
      </c>
      <c r="Z461" s="37">
        <v>1.0416666666666666E-2</v>
      </c>
      <c r="AA461" s="37">
        <v>6.9444444444444441E-3</v>
      </c>
      <c r="AB461" s="37">
        <v>3.6805555555555557E-2</v>
      </c>
      <c r="AC461" s="37">
        <v>3.4722222222222224E-2</v>
      </c>
    </row>
    <row r="462" spans="2:29">
      <c r="B462" t="s">
        <v>468</v>
      </c>
      <c r="D462" s="37">
        <f t="shared" si="4"/>
        <v>0.85069444444444442</v>
      </c>
      <c r="E462" s="37">
        <f t="shared" si="5"/>
        <v>0.85069444444444442</v>
      </c>
      <c r="F462" s="36">
        <f t="shared" si="6"/>
        <v>0.95138888888888884</v>
      </c>
      <c r="G462" s="36">
        <f t="shared" si="7"/>
        <v>0.95138888888888884</v>
      </c>
      <c r="H462" s="30" t="s">
        <v>38</v>
      </c>
      <c r="I462" s="37">
        <f t="shared" si="8"/>
        <v>0.86111111111111105</v>
      </c>
      <c r="J462" s="30" t="s">
        <v>38</v>
      </c>
      <c r="K462" s="36">
        <f t="shared" si="9"/>
        <v>0.94444444444444442</v>
      </c>
      <c r="L462" s="28" t="s">
        <v>223</v>
      </c>
      <c r="M462" s="36">
        <v>0.90277777777777779</v>
      </c>
      <c r="N462" s="37">
        <v>0.9375</v>
      </c>
      <c r="O462" s="37">
        <f t="shared" si="10"/>
        <v>6.9444444444444434E-2</v>
      </c>
      <c r="P462">
        <v>39.1</v>
      </c>
      <c r="Q462" s="36">
        <f t="shared" si="11"/>
        <v>0.10069444444444442</v>
      </c>
      <c r="R462" s="37"/>
      <c r="S462"/>
      <c r="T462"/>
      <c r="U462"/>
      <c r="V462"/>
      <c r="W462" s="30" t="s">
        <v>185</v>
      </c>
      <c r="X462" s="37">
        <v>5.2083333333333336E-2</v>
      </c>
      <c r="Y462" s="37">
        <v>1.3888888888888888E-2</v>
      </c>
      <c r="Z462" s="37">
        <v>1.0416666666666666E-2</v>
      </c>
      <c r="AA462" s="37">
        <v>6.9444444444444441E-3</v>
      </c>
      <c r="AB462" s="37">
        <v>3.6805555555555557E-2</v>
      </c>
      <c r="AC462" s="37">
        <v>3.4722222222222224E-2</v>
      </c>
    </row>
    <row r="463" spans="2:29">
      <c r="B463" s="135" t="s">
        <v>444</v>
      </c>
      <c r="D463" s="37" t="e">
        <f t="shared" ref="D463:D464" ca="1" si="12">M463-$X463</f>
        <v>#NAME?</v>
      </c>
      <c r="E463" s="37" t="e">
        <f t="shared" ref="E463:E464" ca="1" si="13">M463-$X463</f>
        <v>#NAME?</v>
      </c>
      <c r="F463" s="36" t="e">
        <f t="shared" ref="F463:F464" ca="1" si="14">N463+Y463</f>
        <v>#NAME?</v>
      </c>
      <c r="G463" s="36" t="e">
        <f t="shared" ref="G463:G464" ca="1" si="15">N463+Y463</f>
        <v>#NAME?</v>
      </c>
      <c r="H463" s="30" t="s">
        <v>38</v>
      </c>
      <c r="I463" s="37" t="e">
        <f t="shared" ref="I463:I464" ca="1" si="16">D463+Z463</f>
        <v>#NAME?</v>
      </c>
      <c r="J463" s="30" t="s">
        <v>38</v>
      </c>
      <c r="K463" s="37" t="e">
        <f t="shared" ref="K463:K464" ca="1" si="17">N463+AA463</f>
        <v>#NAME?</v>
      </c>
      <c r="L463" s="15" t="s">
        <v>241</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ref="O463:O464" ca="1" si="18">N463-M463+AC463</f>
        <v>#NAME?</v>
      </c>
      <c r="P463" t="e">
        <f ca="1">IF(M463&gt;R463,39.1,39.3)</f>
        <v>#NAME?</v>
      </c>
      <c r="Q463" s="36" t="e">
        <f t="shared" ref="Q463:Q464" ca="1" si="19">F463-D463</f>
        <v>#NAME?</v>
      </c>
      <c r="R463" s="37">
        <v>0.82916666666666672</v>
      </c>
      <c r="S463"/>
      <c r="T463"/>
      <c r="U463" s="37"/>
      <c r="V463" s="36"/>
      <c r="W463" s="30" t="s">
        <v>185</v>
      </c>
      <c r="X463" s="37">
        <v>5.2083333333333336E-2</v>
      </c>
      <c r="Y463" s="37">
        <v>1.3888888888888888E-2</v>
      </c>
      <c r="Z463" s="37">
        <v>1.0416666666666666E-2</v>
      </c>
      <c r="AA463" s="37">
        <v>6.9444444444444441E-3</v>
      </c>
      <c r="AB463" s="37">
        <v>3.6805555555555557E-2</v>
      </c>
      <c r="AC463" s="37">
        <v>3.4722222222222224E-2</v>
      </c>
    </row>
    <row r="464" spans="2:29">
      <c r="B464" s="135" t="s">
        <v>445</v>
      </c>
      <c r="D464" s="37" t="e">
        <f t="shared" ca="1" si="12"/>
        <v>#NAME?</v>
      </c>
      <c r="E464" s="37" t="e">
        <f t="shared" ca="1" si="13"/>
        <v>#NAME?</v>
      </c>
      <c r="F464" s="36" t="e">
        <f t="shared" ca="1" si="14"/>
        <v>#NAME?</v>
      </c>
      <c r="G464" s="36" t="e">
        <f t="shared" ca="1" si="15"/>
        <v>#NAME?</v>
      </c>
      <c r="H464" s="30" t="s">
        <v>38</v>
      </c>
      <c r="I464" s="37" t="e">
        <f t="shared" ca="1" si="16"/>
        <v>#NAME?</v>
      </c>
      <c r="J464" s="30" t="s">
        <v>38</v>
      </c>
      <c r="K464" s="37" t="e">
        <f t="shared" ca="1" si="17"/>
        <v>#NAME?</v>
      </c>
      <c r="L464" s="15" t="s">
        <v>241</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8"/>
        <v>#NAME?</v>
      </c>
      <c r="P464" t="e">
        <f ca="1">IF(M464&gt;R464,39.1,39.3)</f>
        <v>#NAME?</v>
      </c>
      <c r="Q464" s="36" t="e">
        <f t="shared" ca="1" si="19"/>
        <v>#NAME?</v>
      </c>
      <c r="R464" s="37">
        <v>0.82916666666666672</v>
      </c>
      <c r="S464"/>
      <c r="T464"/>
      <c r="U464" s="37"/>
      <c r="V464" s="36"/>
      <c r="W464" s="30" t="s">
        <v>185</v>
      </c>
      <c r="X464" s="37">
        <v>5.2083333333333336E-2</v>
      </c>
      <c r="Y464" s="37">
        <v>1.3888888888888888E-2</v>
      </c>
      <c r="Z464" s="37">
        <v>1.0416666666666666E-2</v>
      </c>
      <c r="AA464" s="37">
        <v>6.9444444444444441E-3</v>
      </c>
      <c r="AB464" s="37">
        <v>3.6805555555555557E-2</v>
      </c>
      <c r="AC464" s="37">
        <v>3.4722222222222224E-2</v>
      </c>
    </row>
    <row r="465" spans="2:24">
      <c r="X465"/>
    </row>
    <row r="466" spans="2:24">
      <c r="X466"/>
    </row>
    <row r="467" spans="2:24">
      <c r="P467"/>
      <c r="Q467"/>
      <c r="R467" s="37" t="str">
        <f>IF(F467-$R$67&gt;0,F467-$R$67,"")</f>
        <v/>
      </c>
      <c r="S467"/>
      <c r="T467"/>
      <c r="U467"/>
      <c r="V467"/>
      <c r="W467"/>
      <c r="X467"/>
    </row>
    <row r="468" spans="2:24">
      <c r="B468" s="103"/>
      <c r="D468" s="31"/>
      <c r="E468" s="31"/>
      <c r="F468" s="31"/>
      <c r="G468" s="31"/>
      <c r="H468" s="30"/>
      <c r="I468" s="31"/>
      <c r="J468" s="30"/>
      <c r="K468" s="31"/>
      <c r="L468" s="30"/>
      <c r="M468" s="31"/>
      <c r="N468" s="31"/>
      <c r="O468" s="31"/>
      <c r="P468" s="39"/>
      <c r="Q468" s="31"/>
      <c r="R468" s="37"/>
      <c r="S468"/>
      <c r="T468"/>
      <c r="U468"/>
      <c r="V468"/>
      <c r="W468" s="30"/>
      <c r="X468"/>
    </row>
    <row r="469" spans="2:24">
      <c r="B469" s="103"/>
      <c r="D469" s="31"/>
      <c r="E469" s="31"/>
      <c r="F469" s="31"/>
      <c r="G469" s="31"/>
      <c r="H469" s="30"/>
      <c r="I469" s="31"/>
      <c r="J469" s="30"/>
      <c r="K469" s="31"/>
      <c r="L469" s="30"/>
      <c r="M469" s="31"/>
      <c r="N469" s="31"/>
      <c r="O469" s="31"/>
      <c r="P469" s="39"/>
      <c r="Q469" s="31"/>
      <c r="R469" s="37"/>
      <c r="S469"/>
      <c r="T469"/>
      <c r="U469"/>
      <c r="V469"/>
      <c r="W469"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O19" zoomScaleNormal="100" workbookViewId="0">
      <selection activeCell="Y51" sqref="Y51"/>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VALUE(IF(印刷プレビュー!$X$8="","",VLOOKUP(印刷プレビュー!$X$8,データシート!$B$70:X468,3,FALSE)))</f>
        <v>#VALUE!</v>
      </c>
      <c r="E3" s="38" t="e">
        <f>VALUE(IF(印刷プレビュー!$X$8="","",VLOOKUP(印刷プレビュー!$X$8,データシート!$B$70:Y468,4,FALSE)))</f>
        <v>#VALUE!</v>
      </c>
      <c r="F3" s="38" t="e">
        <f>VALUE(IF(印刷プレビュー!$X$8="","",VLOOKUP(印刷プレビュー!$X$8,データシート!$B$70:Z468,5,FALSE)))</f>
        <v>#VALUE!</v>
      </c>
      <c r="G3" s="31" t="e">
        <f>VALUE(IF(印刷プレビュー!$X$8="","",VLOOKUP(印刷プレビュー!$X$8,データシート!$B$70:AA468,6,FALSE)))</f>
        <v>#VALUE!</v>
      </c>
      <c r="H3" s="38" t="str">
        <f>IF(印刷プレビュー!$X$8="","",VLOOKUP(印刷プレビュー!$X$8,データシート!$B$70:AB468,7,FALSE))</f>
        <v/>
      </c>
      <c r="I3" s="38" t="e">
        <f>VALUE(IF(印刷プレビュー!$X$8="","",VLOOKUP(印刷プレビュー!$X$8,データシート!$B$70:AC468,8,FALSE)))</f>
        <v>#VALUE!</v>
      </c>
      <c r="J3" s="38" t="str">
        <f>IF(印刷プレビュー!$X$8="","",VLOOKUP(印刷プレビュー!$X$8,データシート!$B$70:AD468,9,FALSE))</f>
        <v/>
      </c>
      <c r="K3" s="38" t="e">
        <f>VALUE(IF(印刷プレビュー!$X$8="","",VLOOKUP(印刷プレビュー!$X$8,データシート!$B$70:AE468,10,FALSE)))</f>
        <v>#VALUE!</v>
      </c>
      <c r="L3" s="30" t="str">
        <f>IF(印刷プレビュー!$X$8="","",VLOOKUP(印刷プレビュー!$X$8,データシート!$B$70:AF468,11,FALSE))</f>
        <v/>
      </c>
      <c r="M3" s="38" t="e">
        <f>VALUE(IF(印刷プレビュー!$X$8="","",VLOOKUP(印刷プレビュー!$X$8,データシート!$B$70:AG468,12,FALSE)))</f>
        <v>#VALUE!</v>
      </c>
      <c r="N3" s="38" t="e">
        <f>VALUE(IF(印刷プレビュー!$X$8="","",VLOOKUP(印刷プレビュー!$X$8,データシート!$B$70:AH468,13,FALSE)))</f>
        <v>#VALUE!</v>
      </c>
      <c r="O3" s="38" t="e">
        <f>VALUE(IF(印刷プレビュー!$X$8="","",VLOOKUP(印刷プレビュー!$X$8,データシート!$B$70:AI468,14,FALSE)))</f>
        <v>#VALUE!</v>
      </c>
      <c r="P3" s="40" t="str">
        <f>IF(印刷プレビュー!$X$8="","",VLOOKUP(印刷プレビュー!$X$8,データシート!$B$70:AJ468,15,FALSE))</f>
        <v/>
      </c>
      <c r="Q3" s="38" t="e">
        <f>VALUE(IF(印刷プレビュー!$X$8="","",VLOOKUP(印刷プレビュー!$X$8,データシート!$B$70:AK468,16,FALSE)))</f>
        <v>#VALUE!</v>
      </c>
      <c r="R3" s="76" t="e">
        <f>VALUE(IF(印刷プレビュー!$X$8="","",VLOOKUP(印刷プレビュー!$X$8,データシート!$B$70:AL468,17,FALSE)))</f>
        <v>#VALUE!</v>
      </c>
      <c r="S3" s="38" t="str">
        <f>IF(印刷プレビュー!$X$8="","",VLOOKUP(印刷プレビュー!$X$8,データシート!$B$70:AM468,18,FALSE))</f>
        <v/>
      </c>
      <c r="T3" s="38" t="str">
        <f>IF(印刷プレビュー!$X$8="","",VLOOKUP(印刷プレビュー!$X$8,データシート!$B$70:AN468,19,FALSE))</f>
        <v/>
      </c>
      <c r="U3" s="38" t="str">
        <f>IF(印刷プレビュー!$X$8="","",VLOOKUP(印刷プレビュー!$X$8,データシート!$B$70:AO468,20,FALSE))</f>
        <v/>
      </c>
      <c r="V3" s="38" t="str">
        <f>IF(印刷プレビュー!$X$8="","",VLOOKUP(印刷プレビュー!$X$8,データシート!$B$70:AP468,21,FALSE))</f>
        <v/>
      </c>
      <c r="W3" s="38" t="str">
        <f>IF(印刷プレビュー!$X$8="","",VLOOKUP(印刷プレビュー!$X$8,データシート!$B$70:AQ468,22,FALSE))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89" t="str">
        <f>IF(印刷プレビュー!X13="","",印刷プレビュー!X13)</f>
        <v/>
      </c>
      <c r="C6" s="189"/>
      <c r="D6" s="38" t="str">
        <f>IF(印刷プレビュー!$X13="","",VLOOKUP(印刷プレビュー!$X13,データシート!$B$70:X468,3,FALSE))</f>
        <v/>
      </c>
      <c r="E6" s="38" t="str">
        <f>IF(印刷プレビュー!$X13="","",VLOOKUP(印刷プレビュー!$X13,データシート!$B$70:Y468,4,FALSE))</f>
        <v/>
      </c>
      <c r="F6" s="38" t="str">
        <f>IF(印刷プレビュー!$X13="","",VLOOKUP(印刷プレビュー!$X13,データシート!$B$70:Z468,5,FALSE))</f>
        <v/>
      </c>
      <c r="G6" s="38" t="str">
        <f>IF(印刷プレビュー!$X13="","",VLOOKUP(印刷プレビュー!$X13,データシート!$B$70:AA468,6,FALSE))</f>
        <v/>
      </c>
      <c r="H6" s="38" t="str">
        <f>IF(印刷プレビュー!Y11="YES","本    社",IF(印刷プレビュー!$X13="","",VLOOKUP(印刷プレビュー!$X13,データシート!$B$70:AB468,7,FALSE)))</f>
        <v/>
      </c>
      <c r="I6" s="38" t="str">
        <f>IF(印刷プレビュー!$X13="","",VLOOKUP(印刷プレビュー!$X13,データシート!$B$70:AC468,8,FALSE))</f>
        <v/>
      </c>
      <c r="J6" s="38" t="str">
        <f>IF(印刷プレビュー!$X13="","",VLOOKUP(印刷プレビュー!$X13,データシート!$B$70:AD468,9,FALSE))</f>
        <v/>
      </c>
      <c r="K6" s="38" t="str">
        <f>IF(印刷プレビュー!$X13="","",VLOOKUP(印刷プレビュー!$X13,データシート!$B$70:AE468,10,FALSE))</f>
        <v/>
      </c>
      <c r="L6" s="30" t="str">
        <f>IF(印刷プレビュー!$X13="","",VLOOKUP(印刷プレビュー!$X13,データシート!$B$70:AF468,11,FALSE))</f>
        <v/>
      </c>
      <c r="M6" s="38" t="str">
        <f>IF(OR(W6="Y4",W6="Y5"),F3,IF(印刷プレビュー!$X13="","",VLOOKUP(印刷プレビュー!$X13,データシート!$B$70:AG465,12,FALSE)))</f>
        <v/>
      </c>
      <c r="N6" s="38" t="str">
        <f>IF(OR(W6="Y1",W6="Y2"),$D$3,IF(印刷プレビュー!$X13="","",VLOOKUP(印刷プレビュー!$X13,データシート!$B$70:AH468,13,FALSE)))</f>
        <v/>
      </c>
      <c r="O6" s="38" t="str">
        <f>IF(印刷プレビュー!$X13="","",VLOOKUP(印刷プレビュー!$X13,データシート!$B$70:AI468,14,FALSE))</f>
        <v/>
      </c>
      <c r="P6" s="30" t="str">
        <f>IF(印刷プレビュー!$X13="","",VLOOKUP(印刷プレビュー!$X13,データシート!$B$70:AJ468,15,FALSE))</f>
        <v/>
      </c>
      <c r="Q6" s="38" t="str">
        <f>IF(印刷プレビュー!$X13="","",VLOOKUP(印刷プレビュー!$X13,データシート!$B$70:AK468,16,FALSE))</f>
        <v/>
      </c>
      <c r="R6" s="76" t="str">
        <f>IF(印刷プレビュー!$X13="","",VLOOKUP(印刷プレビュー!$X13,データシート!$B$70:AL468,17,FALSE))</f>
        <v/>
      </c>
      <c r="S6" s="38" t="str">
        <f>IF(印刷プレビュー!$X13="","",VLOOKUP(印刷プレビュー!$X13,データシート!$B$70:AM468,18,FALSE))</f>
        <v/>
      </c>
      <c r="T6" s="38" t="str">
        <f>IF(印刷プレビュー!$X13="","",VLOOKUP(印刷プレビュー!$X13,データシート!$B$70:AN468,19,FALSE))</f>
        <v/>
      </c>
      <c r="U6" s="38" t="str">
        <f>IF(印刷プレビュー!$X13="","",VLOOKUP(印刷プレビュー!$X13,データシート!$B$70:AO468,20,FALSE))</f>
        <v/>
      </c>
      <c r="V6" s="38" t="str">
        <f>IF(印刷プレビュー!$X13="","",VLOOKUP(印刷プレビュー!$X13,データシート!$B$70:AP468,21,FALSE))</f>
        <v/>
      </c>
      <c r="W6" s="38" t="str">
        <f>IF(印刷プレビュー!$X13="","",VLOOKUP(印刷プレビュー!$X13,データシート!$B$70:AP468,22,FALSE))</f>
        <v/>
      </c>
      <c r="AD6" s="27"/>
    </row>
    <row r="7" spans="1:31">
      <c r="B7" s="189" t="str">
        <f>IF(印刷プレビュー!X14="","",印刷プレビュー!X14)</f>
        <v/>
      </c>
      <c r="C7" s="189"/>
      <c r="D7" s="38" t="str">
        <f>IF(印刷プレビュー!$X14="","",VLOOKUP(印刷プレビュー!$X14,データシート!$B$70:X468,3,FALSE))</f>
        <v/>
      </c>
      <c r="E7" s="38" t="str">
        <f>IF(印刷プレビュー!$X14="","",VLOOKUP(印刷プレビュー!$X14,データシート!$B$70:Y468,4,FALSE))</f>
        <v/>
      </c>
      <c r="F7" s="38" t="str">
        <f>IF(印刷プレビュー!$X14="","",VLOOKUP(印刷プレビュー!$X14,データシート!$B$70:Z468,5,FALSE))</f>
        <v/>
      </c>
      <c r="G7" s="38" t="str">
        <f>IF(印刷プレビュー!$X14="","",VLOOKUP(印刷プレビュー!$X14,データシート!$B$70:AA468,6,FALSE))</f>
        <v/>
      </c>
      <c r="H7" s="38" t="str">
        <f>IF(印刷プレビュー!$X14="","",VLOOKUP(印刷プレビュー!$X14,データシート!$B$70:AB468,7,FALSE))</f>
        <v/>
      </c>
      <c r="I7" s="38" t="str">
        <f>IF(印刷プレビュー!$X14="","",VLOOKUP(印刷プレビュー!$X14,データシート!$B$70:AC468,8,FALSE))</f>
        <v/>
      </c>
      <c r="J7" s="38" t="str">
        <f>IF(印刷プレビュー!$X14="","",VLOOKUP(印刷プレビュー!$X14,データシート!$B$70:AD468,9,FALSE))</f>
        <v/>
      </c>
      <c r="K7" s="38" t="str">
        <f>IF(印刷プレビュー!$X14="","",VLOOKUP(印刷プレビュー!$X14,データシート!$B$70:AE468,10,FALSE))</f>
        <v/>
      </c>
      <c r="L7" s="30" t="str">
        <f>IF(印刷プレビュー!$X14="","",VLOOKUP(印刷プレビュー!$X14,データシート!$B$70:AF468,11,FALSE))</f>
        <v/>
      </c>
      <c r="M7" s="38" t="str">
        <f>IF(印刷プレビュー!$X14="","",VLOOKUP(印刷プレビュー!$X14,データシート!$B$70:AG468,12,FALSE))</f>
        <v/>
      </c>
      <c r="N7" s="38" t="str">
        <f>IF(印刷プレビュー!$X14="","",VLOOKUP(印刷プレビュー!$X14,データシート!$B$70:AH468,13,FALSE))</f>
        <v/>
      </c>
      <c r="O7" s="38" t="str">
        <f>IF(印刷プレビュー!$X14="","",VLOOKUP(印刷プレビュー!$X14,データシート!$B$70:AI468,14,FALSE))</f>
        <v/>
      </c>
      <c r="P7" s="30" t="str">
        <f>IF(印刷プレビュー!$X14="","",VLOOKUP(印刷プレビュー!$X14,データシート!$B$70:AJ468,15,FALSE))</f>
        <v/>
      </c>
      <c r="Q7" s="38" t="str">
        <f>IF(印刷プレビュー!$X14="","",VLOOKUP(印刷プレビュー!$X14,データシート!$B$70:AK468,16,FALSE))</f>
        <v/>
      </c>
      <c r="R7" s="76" t="str">
        <f>IF(印刷プレビュー!$X14="","",VLOOKUP(印刷プレビュー!$X14,データシート!$B$70:AL468,17,FALSE))</f>
        <v/>
      </c>
      <c r="S7" s="38" t="str">
        <f>IF(印刷プレビュー!$X14="","",VLOOKUP(印刷プレビュー!$X14,データシート!$B$70:AM468,18,FALSE))</f>
        <v/>
      </c>
      <c r="T7" s="38" t="str">
        <f>IF(印刷プレビュー!$X14="","",VLOOKUP(印刷プレビュー!$X14,データシート!$B$70:AN468,19,FALSE))</f>
        <v/>
      </c>
      <c r="U7" s="38" t="str">
        <f>IF(印刷プレビュー!$X14="","",VLOOKUP(印刷プレビュー!$X14,データシート!$B$70:AO468,20,FALSE))</f>
        <v/>
      </c>
      <c r="V7" s="38" t="str">
        <f>IF(印刷プレビュー!$X14="","",VLOOKUP(印刷プレビュー!$X14,データシート!$B$70:AP468,21,FALSE))</f>
        <v/>
      </c>
      <c r="W7" s="38" t="str">
        <f>IF(印刷プレビュー!$X14="","",VLOOKUP(印刷プレビュー!$X14,データシート!$B$70:AP468,22,FALSE))</f>
        <v/>
      </c>
      <c r="AD7" s="27"/>
    </row>
    <row r="8" spans="1:31">
      <c r="B8" s="192" t="str">
        <f>IF(印刷プレビュー!X15="","",印刷プレビュー!X15)</f>
        <v/>
      </c>
      <c r="C8" s="192"/>
      <c r="D8" s="38" t="str">
        <f>IF(印刷プレビュー!$X15="","",VLOOKUP(印刷プレビュー!$X15,データシート!$B$70:X468,3,FALSE))</f>
        <v/>
      </c>
      <c r="E8" s="38" t="str">
        <f>IF(印刷プレビュー!$X15="","",VLOOKUP(印刷プレビュー!$X15,データシート!$B$70:Y468,4,FALSE))</f>
        <v/>
      </c>
      <c r="F8" s="38" t="str">
        <f>IF(印刷プレビュー!$X15="","",VLOOKUP(印刷プレビュー!$X15,データシート!$B$70:Z468,5,FALSE))</f>
        <v/>
      </c>
      <c r="G8" s="38" t="str">
        <f>IF(印刷プレビュー!$X15="","",VLOOKUP(印刷プレビュー!$X15,データシート!$B$70:AA468,6,FALSE))</f>
        <v/>
      </c>
      <c r="H8" s="38" t="str">
        <f>IF(印刷プレビュー!$X15="","",VLOOKUP(印刷プレビュー!$X15,データシート!$B$70:AB468,7,FALSE))</f>
        <v/>
      </c>
      <c r="I8" s="38" t="str">
        <f>IF(印刷プレビュー!$X15="","",VLOOKUP(印刷プレビュー!$X15,データシート!$B$70:AC468,8,FALSE))</f>
        <v/>
      </c>
      <c r="J8" s="38" t="str">
        <f>IF(印刷プレビュー!$X15="","",VLOOKUP(印刷プレビュー!$X15,データシート!$B$70:AD468,9,FALSE))</f>
        <v/>
      </c>
      <c r="K8" s="38" t="str">
        <f>IF(印刷プレビュー!$X15="","",VLOOKUP(印刷プレビュー!$X15,データシート!$B$70:AE468,10,FALSE))</f>
        <v/>
      </c>
      <c r="L8" s="30" t="str">
        <f>IF(印刷プレビュー!$X15="","",VLOOKUP(印刷プレビュー!$X15,データシート!$B$70:AF468,11,FALSE))</f>
        <v/>
      </c>
      <c r="M8" s="38" t="str">
        <f>IF(印刷プレビュー!$X15="","",VLOOKUP(印刷プレビュー!$X15,データシート!$B$70:AG468,12,FALSE))</f>
        <v/>
      </c>
      <c r="N8" s="38" t="str">
        <f>IF(印刷プレビュー!$X15="","",VLOOKUP(印刷プレビュー!$X15,データシート!$B$70:AH468,13,FALSE))</f>
        <v/>
      </c>
      <c r="O8" s="38" t="str">
        <f>IF(印刷プレビュー!$X15="","",VLOOKUP(印刷プレビュー!$X15,データシート!$B$70:AI468,14,FALSE))</f>
        <v/>
      </c>
      <c r="P8" s="30" t="str">
        <f>IF(印刷プレビュー!$X15="","",VLOOKUP(印刷プレビュー!$X15,データシート!$B$70:AJ468,15,FALSE))</f>
        <v/>
      </c>
      <c r="Q8" s="38" t="str">
        <f>IF(印刷プレビュー!$X15="","",VLOOKUP(印刷プレビュー!$X15,データシート!$B$70:AK468,16,FALSE))</f>
        <v/>
      </c>
      <c r="R8" s="76" t="str">
        <f>IF(印刷プレビュー!$X15="","",VLOOKUP(印刷プレビュー!$X15,データシート!$B$70:AL468,17,FALSE))</f>
        <v/>
      </c>
      <c r="S8" s="38" t="str">
        <f>IF(印刷プレビュー!$X15="","",VLOOKUP(印刷プレビュー!$X15,データシート!$B$70:AM468,18,FALSE))</f>
        <v/>
      </c>
      <c r="T8" s="38" t="str">
        <f>IF(印刷プレビュー!$X15="","",VLOOKUP(印刷プレビュー!$X15,データシート!$B$70:AN468,19,FALSE))</f>
        <v/>
      </c>
      <c r="U8" s="38" t="str">
        <f>IF(印刷プレビュー!$X15="","",VLOOKUP(印刷プレビュー!$X15,データシート!$B$70:AO468,20,FALSE))</f>
        <v/>
      </c>
      <c r="V8" s="38" t="str">
        <f>IF(印刷プレビュー!$X15="","",VLOOKUP(印刷プレビュー!$X15,データシート!$B$70:AP468,21,FALSE))</f>
        <v/>
      </c>
      <c r="W8" s="38" t="str">
        <f>IF(印刷プレビュー!$X15="","",VLOOKUP(印刷プレビュー!$X15,データシート!$B$70:AP468,22,FALSE))</f>
        <v/>
      </c>
    </row>
    <row r="9" spans="1:31">
      <c r="B9" s="192" t="str">
        <f>IF(印刷プレビュー!X17="","",印刷プレビュー!X17)</f>
        <v/>
      </c>
      <c r="C9" s="192"/>
      <c r="D9" s="38" t="str">
        <f>IF(印刷プレビュー!$X17="","",VLOOKUP(印刷プレビュー!$X17,データシート!$B$70:X468,3,FALSE))</f>
        <v/>
      </c>
      <c r="E9" s="38" t="str">
        <f>IF(印刷プレビュー!$X17="","",VLOOKUP(印刷プレビュー!$X17,データシート!$B$70:Y468,4,FALSE))</f>
        <v/>
      </c>
      <c r="F9" s="38" t="str">
        <f>IF(印刷プレビュー!$X17="","",VLOOKUP(印刷プレビュー!$X17,データシート!$B$70:Z468,5,FALSE))</f>
        <v/>
      </c>
      <c r="G9" s="38" t="str">
        <f>IF(印刷プレビュー!$X17="","",VLOOKUP(印刷プレビュー!$X17,データシート!$B$70:AA468,6,FALSE))</f>
        <v/>
      </c>
      <c r="H9" s="38" t="str">
        <f>IF(印刷プレビュー!$X17="","",VLOOKUP(印刷プレビュー!$X17,データシート!$B$70:AB468,7,FALSE))</f>
        <v/>
      </c>
      <c r="I9" s="38" t="str">
        <f>IF(印刷プレビュー!$X17="","",VLOOKUP(印刷プレビュー!$X17,データシート!$B$70:AC468,8,FALSE))</f>
        <v/>
      </c>
      <c r="J9" s="38" t="str">
        <f>IF(印刷プレビュー!$X17="","",VLOOKUP(印刷プレビュー!$X17,データシート!$B$70:AD468,9,FALSE))</f>
        <v/>
      </c>
      <c r="K9" s="38" t="str">
        <f>IF(印刷プレビュー!$X17="","",VLOOKUP(印刷プレビュー!$X17,データシート!$B$70:AE468,10,FALSE))</f>
        <v/>
      </c>
      <c r="L9" s="30" t="str">
        <f>IF(印刷プレビュー!$X17="","",VLOOKUP(印刷プレビュー!$X17,データシート!$B$70:AF468,11,FALSE))</f>
        <v/>
      </c>
      <c r="M9" s="38" t="str">
        <f>IF(印刷プレビュー!$X17="","",VLOOKUP(印刷プレビュー!$X17,データシート!$B$70:AG468,12,FALSE))</f>
        <v/>
      </c>
      <c r="N9" s="38" t="str">
        <f>IF(印刷プレビュー!$X17="","",VLOOKUP(印刷プレビュー!$X17,データシート!$B$70:AH468,13,FALSE))</f>
        <v/>
      </c>
      <c r="O9" s="38" t="str">
        <f>IF(印刷プレビュー!$X17="","",VLOOKUP(印刷プレビュー!$X17,データシート!$B$70:AI468,14,FALSE))</f>
        <v/>
      </c>
      <c r="P9" s="30" t="str">
        <f>IF(印刷プレビュー!$X17="","",VLOOKUP(印刷プレビュー!$X17,データシート!$B$70:AJ468,15,FALSE))</f>
        <v/>
      </c>
      <c r="Q9" s="38" t="str">
        <f>IF(印刷プレビュー!$X17="","",VLOOKUP(印刷プレビュー!$X17,データシート!$B$70:AK468,16,FALSE))</f>
        <v/>
      </c>
      <c r="R9" s="76" t="str">
        <f>IF(印刷プレビュー!$X17="","",VLOOKUP(印刷プレビュー!$X17,データシート!$B$70:AL468,17,FALSE))</f>
        <v/>
      </c>
      <c r="S9" s="38" t="str">
        <f>IF(印刷プレビュー!$X17="","",VLOOKUP(印刷プレビュー!$X17,データシート!$B$70:AM468,18,FALSE))</f>
        <v/>
      </c>
      <c r="T9" s="38" t="str">
        <f>IF(印刷プレビュー!$X17="","",VLOOKUP(印刷プレビュー!$X17,データシート!$B$70:AN468,19,FALSE))</f>
        <v/>
      </c>
      <c r="U9" s="38" t="str">
        <f>IF(印刷プレビュー!$X17="","",VLOOKUP(印刷プレビュー!$X17,データシート!$B$70:AO468,20,FALSE))</f>
        <v/>
      </c>
      <c r="V9" s="38" t="str">
        <f>IF(印刷プレビュー!$X17="","",VLOOKUP(印刷プレビュー!$X17,データシート!$B$70:AP468,21,FALSE))</f>
        <v/>
      </c>
      <c r="W9" s="38" t="str">
        <f>IF(印刷プレビュー!$X17="","",VLOOKUP(印刷プレビュー!$X17,データシート!$B$70:AP468,22,FALSE))</f>
        <v/>
      </c>
    </row>
    <row r="10" spans="1:31">
      <c r="B10" s="193"/>
      <c r="C10" s="193"/>
      <c r="D10" s="38" t="str">
        <f>IF(印刷プレビュー!$X17="","",VLOOKUP(印刷プレビュー!$X17,データシート!$B$70:X468,3,FALSE))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IF(印刷プレビュー!$X19="","",VLOOKUP(印刷プレビュー!$X19,データシート!$B$70:X468,3,FALSE))</f>
        <v/>
      </c>
      <c r="I12" s="37" t="s">
        <v>98</v>
      </c>
      <c r="K12" s="37" t="s">
        <v>99</v>
      </c>
      <c r="M12" s="37" t="s">
        <v>98</v>
      </c>
      <c r="N12" s="37" t="s">
        <v>99</v>
      </c>
      <c r="Z12" s="37"/>
      <c r="AB12" s="37"/>
    </row>
    <row r="13" spans="1:31">
      <c r="D13" s="38" t="str">
        <f>IF(印刷プレビュー!$X20="","",VLOOKUP(印刷プレビュー!$X20,データシート!$B$70:X468,3,FALSE))</f>
        <v/>
      </c>
      <c r="L13" s="65"/>
      <c r="Y13" s="37"/>
    </row>
    <row r="14" spans="1:31">
      <c r="A14" t="s">
        <v>94</v>
      </c>
      <c r="D14" s="38" t="str">
        <f>IF(印刷プレビュー!$X21="","",VLOOKUP(印刷プレビュー!$X21,データシート!$B$70:X468,3,FALSE))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89" t="str">
        <f>IF(印刷プレビュー!X24="","",印刷プレビュー!X24)</f>
        <v/>
      </c>
      <c r="C16" s="189"/>
      <c r="D16" s="38" t="str">
        <f>IF(OR(W16="Y4",W16="Y5"),F11,IF(印刷プレビュー!$X24="","",VLOOKUP(印刷プレビュー!$X24,データシート!$B$70:X468,3,FALSE)))</f>
        <v/>
      </c>
      <c r="E16" s="38" t="str">
        <f>IF(OR(W16="Y4",W16="Y5"),F11,IF(印刷プレビュー!$X24="","",VLOOKUP(印刷プレビュー!$X24,データシート!$B$70:X468,3,FALSE)))</f>
        <v/>
      </c>
      <c r="F16" s="38" t="str">
        <f>IF(印刷プレビュー!$X24="","",VLOOKUP(印刷プレビュー!$X24,データシート!$B$70:Z468,5,FALSE))</f>
        <v/>
      </c>
      <c r="G16" s="38" t="str">
        <f>IF(印刷プレビュー!$X24="","",VLOOKUP(印刷プレビュー!$X24,データシート!$B$70:AA468,6,FALSE))</f>
        <v/>
      </c>
      <c r="H16" s="38" t="str">
        <f>IF(印刷プレビュー!Y21="YES","本    社",IF(印刷プレビュー!$X24="","",VLOOKUP(印刷プレビュー!$X24,データシート!$B$70:AB468,7,FALSE)))</f>
        <v/>
      </c>
      <c r="I16" s="38" t="str">
        <f>IF(OR(W16="Y4",W16="Y5"),F11,IF(印刷プレビュー!$X24="","",VLOOKUP(印刷プレビュー!$X24,データシート!$B$70:AC468,8,FALSE)))</f>
        <v/>
      </c>
      <c r="J16" s="38" t="str">
        <f>IF(印刷プレビュー!$X24="","",VLOOKUP(印刷プレビュー!$X24,データシート!$B$70:AD468,9,FALSE))</f>
        <v/>
      </c>
      <c r="K16" s="38" t="str">
        <f>IF(印刷プレビュー!$X24="","",VLOOKUP(印刷プレビュー!$X24,データシート!$B$70:AE468,10,FALSE))</f>
        <v/>
      </c>
      <c r="L16" s="30" t="str">
        <f>IF(印刷プレビュー!$X24="","",VLOOKUP(印刷プレビュー!$X24,データシート!$B$70:AF468,11,FALSE))</f>
        <v/>
      </c>
      <c r="M16" s="38" t="str">
        <f>IF(OR(W16="Y4",W16="Y5"),F11,IF(印刷プレビュー!$X24="","",VLOOKUP(印刷プレビュー!$X24,データシート!$B$70:AG468,12,FALSE)))</f>
        <v/>
      </c>
      <c r="N16" s="38" t="str">
        <f>IF(印刷プレビュー!$X24="","",VLOOKUP(印刷プレビュー!$X24,データシート!$B$70:AH468,13,FALSE))</f>
        <v/>
      </c>
      <c r="O16" s="38" t="str">
        <f>IF(印刷プレビュー!$X24="","",VLOOKUP(印刷プレビュー!$X24,データシート!$B$70:AI468,14,FALSE))</f>
        <v/>
      </c>
      <c r="P16" s="30" t="str">
        <f>IF(印刷プレビュー!$X24="","",VLOOKUP(印刷プレビュー!$X24,データシート!$B$70:AJ468,15,FALSE))</f>
        <v/>
      </c>
      <c r="Q16" s="38" t="str">
        <f>IF(印刷プレビュー!$X24="","",VLOOKUP(印刷プレビュー!$X24,データシート!$B$70:AK468,16,FALSE))</f>
        <v/>
      </c>
      <c r="R16" s="76" t="str">
        <f>IF(印刷プレビュー!$X24="","",VLOOKUP(印刷プレビュー!$X24,データシート!$B$70:AL468,17,FALSE))</f>
        <v/>
      </c>
      <c r="S16" s="38" t="str">
        <f>IF(印刷プレビュー!$X24="","",VLOOKUP(印刷プレビュー!$X24,データシート!$B$70:AM468,18,FALSE))</f>
        <v/>
      </c>
      <c r="T16" s="38" t="str">
        <f>IF(印刷プレビュー!$X24="","",VLOOKUP(印刷プレビュー!$X24,データシート!$B$70:AN468,19,FALSE))</f>
        <v/>
      </c>
      <c r="U16" s="38" t="str">
        <f>IF(印刷プレビュー!$X24="","",VLOOKUP(印刷プレビュー!$X24,データシート!$B$70:AO468,20,FALSE))</f>
        <v/>
      </c>
      <c r="V16" s="38" t="str">
        <f>IF(印刷プレビュー!$X24="","",VLOOKUP(印刷プレビュー!$X24,データシート!$B$70:AP468,21,FALSE))</f>
        <v/>
      </c>
      <c r="W16" s="38" t="str">
        <f>IF(印刷プレビュー!$X24="","",VLOOKUP(印刷プレビュー!$X24,データシート!$B$70:AP468,22,FALSE))</f>
        <v/>
      </c>
    </row>
    <row r="17" spans="1:28">
      <c r="B17" s="189" t="str">
        <f>IF(印刷プレビュー!X25="","",印刷プレビュー!X25)</f>
        <v/>
      </c>
      <c r="C17" s="189"/>
      <c r="D17" s="38" t="str">
        <f>IF(印刷プレビュー!$X25="","",VLOOKUP(印刷プレビュー!$X25,データシート!$B$70:X468,3,FALSE))</f>
        <v/>
      </c>
      <c r="E17" s="38" t="str">
        <f>IF(印刷プレビュー!$X25="","",VLOOKUP(印刷プレビュー!$X25,データシート!$B$70:Y468,4,FALSE))</f>
        <v/>
      </c>
      <c r="F17" s="38" t="str">
        <f>IF(印刷プレビュー!$X25="","",VLOOKUP(印刷プレビュー!$X25,データシート!$B$70:Z468,5,FALSE))</f>
        <v/>
      </c>
      <c r="G17" s="38" t="str">
        <f>IF(印刷プレビュー!$X25="","",VLOOKUP(印刷プレビュー!$X25,データシート!$B$70:AA468,6,FALSE))</f>
        <v/>
      </c>
      <c r="H17" s="38" t="str">
        <f>IF(印刷プレビュー!$X25="","",VLOOKUP(印刷プレビュー!$X25,データシート!$B$70:AB468,7,FALSE))</f>
        <v/>
      </c>
      <c r="I17" s="38" t="str">
        <f>IF(印刷プレビュー!$X25="","",VLOOKUP(印刷プレビュー!$X25,データシート!$B$70:AC468,8,FALSE))</f>
        <v/>
      </c>
      <c r="J17" s="38" t="str">
        <f>IF(印刷プレビュー!$X25="","",VLOOKUP(印刷プレビュー!$X25,データシート!$B$70:AD468,9,FALSE))</f>
        <v/>
      </c>
      <c r="K17" s="38" t="str">
        <f>IF(印刷プレビュー!$X25="","",VLOOKUP(印刷プレビュー!$X25,データシート!$B$70:AE468,10,FALSE))</f>
        <v/>
      </c>
      <c r="L17" s="30" t="str">
        <f>IF(印刷プレビュー!$X25="","",VLOOKUP(印刷プレビュー!$X25,データシート!$B$70:AF468,11,FALSE))</f>
        <v/>
      </c>
      <c r="M17" s="38" t="str">
        <f>IF(印刷プレビュー!$X25="","",VLOOKUP(印刷プレビュー!$X25,データシート!$B$70:AG468,12,FALSE))</f>
        <v/>
      </c>
      <c r="N17" s="38" t="str">
        <f>IF(印刷プレビュー!$X25="","",VLOOKUP(印刷プレビュー!$X25,データシート!$B$70:AH468,13,FALSE))</f>
        <v/>
      </c>
      <c r="O17" s="38" t="str">
        <f>IF(印刷プレビュー!$X25="","",VLOOKUP(印刷プレビュー!$X25,データシート!$B$70:AI468,14,FALSE))</f>
        <v/>
      </c>
      <c r="P17" s="30" t="str">
        <f>IF(印刷プレビュー!$X25="","",VLOOKUP(印刷プレビュー!$X25,データシート!$B$70:AJ468,15,FALSE))</f>
        <v/>
      </c>
      <c r="Q17" s="38" t="str">
        <f>IF(印刷プレビュー!$X25="","",VLOOKUP(印刷プレビュー!$X25,データシート!$B$70:AK468,16,FALSE))</f>
        <v/>
      </c>
      <c r="R17" s="76" t="str">
        <f>IF(印刷プレビュー!$X25="","",VLOOKUP(印刷プレビュー!$X25,データシート!$B$70:AL468,17,FALSE))</f>
        <v/>
      </c>
      <c r="S17" s="38" t="str">
        <f>IF(印刷プレビュー!$X25="","",VLOOKUP(印刷プレビュー!$X25,データシート!$B$70:AM468,18,FALSE))</f>
        <v/>
      </c>
      <c r="T17" s="38" t="str">
        <f>IF(印刷プレビュー!$X25="","",VLOOKUP(印刷プレビュー!$X25,データシート!$B$70:AN468,19,FALSE))</f>
        <v/>
      </c>
      <c r="U17" s="38" t="str">
        <f>IF(印刷プレビュー!$X25="","",VLOOKUP(印刷プレビュー!$X25,データシート!$B$70:AO468,20,FALSE))</f>
        <v/>
      </c>
      <c r="V17" s="38" t="str">
        <f>IF(印刷プレビュー!$X25="","",VLOOKUP(印刷プレビュー!$X25,データシート!$B$70:AP468,21,FALSE))</f>
        <v/>
      </c>
      <c r="W17" s="38" t="str">
        <f>IF(印刷プレビュー!$X25="","",VLOOKUP(印刷プレビュー!$X25,データシート!$B$70:AP468,22,FALSE))</f>
        <v/>
      </c>
    </row>
    <row r="18" spans="1:28">
      <c r="B18" s="189" t="str">
        <f>IF(印刷プレビュー!X26="","",印刷プレビュー!X26)</f>
        <v/>
      </c>
      <c r="C18" s="189"/>
      <c r="D18" s="38" t="str">
        <f>IF(印刷プレビュー!$X26="","",VLOOKUP(印刷プレビュー!$X26,データシート!$B$70:X468,3,FALSE))</f>
        <v/>
      </c>
      <c r="E18" s="38" t="str">
        <f>IF(印刷プレビュー!$X26="","",VLOOKUP(印刷プレビュー!$X26,データシート!$B$70:Y468,4,FALSE))</f>
        <v/>
      </c>
      <c r="F18" s="38" t="str">
        <f>IF(印刷プレビュー!$X26="","",VLOOKUP(印刷プレビュー!$X26,データシート!$B$70:Z468,5,FALSE))</f>
        <v/>
      </c>
      <c r="G18" s="38" t="str">
        <f>IF(印刷プレビュー!$X26="","",VLOOKUP(印刷プレビュー!$X26,データシート!$B$70:AA468,6,FALSE))</f>
        <v/>
      </c>
      <c r="H18" s="38" t="str">
        <f>IF(印刷プレビュー!$X26="","",VLOOKUP(印刷プレビュー!$X26,データシート!$B$70:AB468,7,FALSE))</f>
        <v/>
      </c>
      <c r="I18" s="38" t="str">
        <f>IF(印刷プレビュー!$X26="","",VLOOKUP(印刷プレビュー!$X26,データシート!$B$70:AC468,8,FALSE))</f>
        <v/>
      </c>
      <c r="J18" s="38" t="str">
        <f>IF(印刷プレビュー!$X26="","",VLOOKUP(印刷プレビュー!$X26,データシート!$B$70:AD468,9,FALSE))</f>
        <v/>
      </c>
      <c r="K18" s="38" t="str">
        <f>IF(印刷プレビュー!$X26="","",VLOOKUP(印刷プレビュー!$X26,データシート!$B$70:AE468,10,FALSE))</f>
        <v/>
      </c>
      <c r="L18" s="30" t="str">
        <f>IF(印刷プレビュー!$X26="","",VLOOKUP(印刷プレビュー!$X26,データシート!$B$70:AF468,11,FALSE))</f>
        <v/>
      </c>
      <c r="M18" s="38" t="str">
        <f>IF(印刷プレビュー!$X26="","",VLOOKUP(印刷プレビュー!$X26,データシート!$B$70:AG468,12,FALSE))</f>
        <v/>
      </c>
      <c r="N18" s="38" t="str">
        <f>IF(印刷プレビュー!$X26="","",VLOOKUP(印刷プレビュー!$X26,データシート!$B$70:AH468,13,FALSE))</f>
        <v/>
      </c>
      <c r="O18" s="38" t="str">
        <f>IF(印刷プレビュー!$X26="","",VLOOKUP(印刷プレビュー!$X26,データシート!$B$70:AI468,14,FALSE))</f>
        <v/>
      </c>
      <c r="P18" s="30" t="str">
        <f>IF(印刷プレビュー!$X26="","",VLOOKUP(印刷プレビュー!$X26,データシート!$B$70:AJ468,15,FALSE))</f>
        <v/>
      </c>
      <c r="Q18" s="38" t="str">
        <f>IF(印刷プレビュー!$X26="","",VLOOKUP(印刷プレビュー!$X26,データシート!$B$70:AK468,16,FALSE))</f>
        <v/>
      </c>
      <c r="R18" s="76" t="str">
        <f>IF(印刷プレビュー!$X26="","",VLOOKUP(印刷プレビュー!$X26,データシート!$B$70:AL468,17,FALSE))</f>
        <v/>
      </c>
      <c r="S18" s="38" t="str">
        <f>IF(印刷プレビュー!$X26="","",VLOOKUP(印刷プレビュー!$X26,データシート!$B$70:AM468,18,FALSE))</f>
        <v/>
      </c>
      <c r="T18" s="38" t="str">
        <f>IF(印刷プレビュー!$X26="","",VLOOKUP(印刷プレビュー!$X26,データシート!$B$70:AN468,19,FALSE))</f>
        <v/>
      </c>
      <c r="U18" s="38" t="str">
        <f>IF(印刷プレビュー!$X26="","",VLOOKUP(印刷プレビュー!$X26,データシート!$B$70:AO468,20,FALSE))</f>
        <v/>
      </c>
      <c r="V18" s="38" t="str">
        <f>IF(印刷プレビュー!$X26="","",VLOOKUP(印刷プレビュー!$X26,データシート!$B$70:AP468,21,FALSE))</f>
        <v/>
      </c>
      <c r="W18" s="38" t="str">
        <f>IF(印刷プレビュー!$X26="","",VLOOKUP(印刷プレビュー!$X26,データシート!$B$70:AP468,22,FALSE))</f>
        <v/>
      </c>
    </row>
    <row r="19" spans="1:28">
      <c r="B19" s="189" t="str">
        <f>IF(印刷プレビュー!X27="","",印刷プレビュー!X27)</f>
        <v/>
      </c>
      <c r="C19" s="189"/>
      <c r="D19" s="38" t="str">
        <f>IF(印刷プレビュー!$X27="","",VLOOKUP(印刷プレビュー!$X27,データシート!$B$70:X468,3,FALSE))</f>
        <v/>
      </c>
      <c r="E19" s="38" t="str">
        <f>IF(印刷プレビュー!$X27="","",VLOOKUP(印刷プレビュー!$X27,データシート!$B$70:Y468,4,FALSE))</f>
        <v/>
      </c>
      <c r="F19" s="38" t="str">
        <f>IF(印刷プレビュー!$X27="","",VLOOKUP(印刷プレビュー!$X27,データシート!$B$70:Z468,5,FALSE))</f>
        <v/>
      </c>
      <c r="G19" s="38" t="str">
        <f>IF(印刷プレビュー!$X27="","",VLOOKUP(印刷プレビュー!$X27,データシート!$B$70:AA468,6,FALSE))</f>
        <v/>
      </c>
      <c r="H19" s="38" t="str">
        <f>IF(印刷プレビュー!$X27="","",VLOOKUP(印刷プレビュー!$X27,データシート!$B$70:AB468,7,FALSE))</f>
        <v/>
      </c>
      <c r="I19" s="38" t="str">
        <f>IF(印刷プレビュー!$X27="","",VLOOKUP(印刷プレビュー!$X27,データシート!$B$70:AC468,8,FALSE))</f>
        <v/>
      </c>
      <c r="J19" s="38" t="str">
        <f>IF(印刷プレビュー!$X27="","",VLOOKUP(印刷プレビュー!$X27,データシート!$B$70:AD468,9,FALSE))</f>
        <v/>
      </c>
      <c r="K19" s="38" t="str">
        <f>IF(印刷プレビュー!$X27="","",VLOOKUP(印刷プレビュー!$X27,データシート!$B$70:AE468,10,FALSE))</f>
        <v/>
      </c>
      <c r="L19" s="30" t="str">
        <f>IF(印刷プレビュー!$X27="","",VLOOKUP(印刷プレビュー!$X27,データシート!$B$70:AF468,11,FALSE))</f>
        <v/>
      </c>
      <c r="M19" s="38" t="str">
        <f>IF(印刷プレビュー!$X27="","",VLOOKUP(印刷プレビュー!$X27,データシート!$B$70:AG468,12,FALSE))</f>
        <v/>
      </c>
      <c r="N19" s="38" t="str">
        <f>IF(印刷プレビュー!$X27="","",VLOOKUP(印刷プレビュー!$X27,データシート!$B$70:AH468,13,FALSE))</f>
        <v/>
      </c>
      <c r="O19" s="38" t="str">
        <f>IF(印刷プレビュー!$X27="","",VLOOKUP(印刷プレビュー!$X27,データシート!$B$70:AI468,14,FALSE))</f>
        <v/>
      </c>
      <c r="P19" s="30" t="str">
        <f>IF(印刷プレビュー!$X27="","",VLOOKUP(印刷プレビュー!$X27,データシート!$B$70:AJ468,15,FALSE))</f>
        <v/>
      </c>
      <c r="Q19" s="38" t="str">
        <f>IF(印刷プレビュー!$X27="","",VLOOKUP(印刷プレビュー!$X27,データシート!$B$70:AK468,16,FALSE))</f>
        <v/>
      </c>
      <c r="R19" s="76" t="str">
        <f>IF(印刷プレビュー!$X27="","",VLOOKUP(印刷プレビュー!$X27,データシート!$B$70:AL468,17,FALSE))</f>
        <v/>
      </c>
      <c r="S19" s="38" t="str">
        <f>IF(印刷プレビュー!$X27="","",VLOOKUP(印刷プレビュー!$X27,データシート!$B$70:AM468,18,FALSE))</f>
        <v/>
      </c>
      <c r="T19" s="38" t="str">
        <f>IF(印刷プレビュー!$X27="","",VLOOKUP(印刷プレビュー!$X27,データシート!$B$70:AN468,19,FALSE))</f>
        <v/>
      </c>
      <c r="U19" s="38" t="str">
        <f>IF(印刷プレビュー!$X27="","",VLOOKUP(印刷プレビュー!$X27,データシート!$B$70:AO468,20,FALSE))</f>
        <v/>
      </c>
      <c r="V19" s="38" t="str">
        <f>IF(印刷プレビュー!$X27="","",VLOOKUP(印刷プレビュー!$X27,データシート!$B$70:AP468,21,FALSE))</f>
        <v/>
      </c>
      <c r="W19" s="38" t="str">
        <f>IF(印刷プレビュー!$X27="","",VLOOKUP(印刷プレビュー!$X27,データシート!$B$70:AP468,22,FALSE))</f>
        <v/>
      </c>
    </row>
    <row r="20" spans="1:28">
      <c r="B20" s="193"/>
      <c r="C20" s="193"/>
      <c r="D20" s="38" t="str">
        <f>IF(印刷プレビュー!$X27="","",VLOOKUP(印刷プレビュー!$X27,データシート!$B$70:X468,3,FALSE))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IF(印刷プレビュー!$X30="","",VLOOKUP(印刷プレビュー!$X30,データシート!$B$70:X468,3,FALSE))</f>
        <v/>
      </c>
      <c r="I22" s="37" t="s">
        <v>98</v>
      </c>
      <c r="K22" s="37" t="s">
        <v>99</v>
      </c>
      <c r="M22" s="37" t="s">
        <v>98</v>
      </c>
      <c r="N22" s="37" t="s">
        <v>99</v>
      </c>
      <c r="Y22" s="37"/>
    </row>
    <row r="23" spans="1:28">
      <c r="D23" s="38" t="str">
        <f>IF(印刷プレビュー!$X31="","",VLOOKUP(印刷プレビュー!$X31,データシート!$B$70:X468,3,FALSE))</f>
        <v/>
      </c>
      <c r="Y23" s="37"/>
    </row>
    <row r="24" spans="1:28">
      <c r="A24" t="s">
        <v>105</v>
      </c>
      <c r="B24" s="2"/>
      <c r="D24" s="38" t="str">
        <f>IF(印刷プレビュー!$X32="","",VLOOKUP(印刷プレビュー!$X32,データシート!$B$70:X468,3,FALSE))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89" t="str">
        <f>IF(印刷プレビュー!X35="","",印刷プレビュー!X35)</f>
        <v/>
      </c>
      <c r="C26" s="189"/>
      <c r="D26" s="38" t="str">
        <f>IF(OR(W26="Y4",W26="Y5"),F21,IF(印刷プレビュー!$X35="","",VLOOKUP(印刷プレビュー!$X35,データシート!$B$70:X468,3,FALSE)))</f>
        <v/>
      </c>
      <c r="E26" s="38" t="str">
        <f>IF(OR(W26="Y4",W26="Y5"),F21,IF(印刷プレビュー!$X35="","",VLOOKUP(印刷プレビュー!$X35,データシート!$B$70:Y468,3,FALSE)))</f>
        <v/>
      </c>
      <c r="F26" s="38" t="str">
        <f>IF(印刷プレビュー!$X35="","",VLOOKUP(印刷プレビュー!$X35,データシート!$B$70:Z468,5,FALSE))</f>
        <v/>
      </c>
      <c r="G26" s="38" t="str">
        <f>IF(印刷プレビュー!$X35="","",VLOOKUP(印刷プレビュー!$X35,データシート!$B$70:AA468,6,FALSE))</f>
        <v/>
      </c>
      <c r="H26" s="38" t="str">
        <f>IF(印刷プレビュー!Y33="YES","本    社",IF(印刷プレビュー!$X35="","",VLOOKUP(印刷プレビュー!$X35,データシート!$B$70:AB468,7,FALSE)))</f>
        <v/>
      </c>
      <c r="I26" s="38" t="str">
        <f>IF(OR(W26="Y4",W26="Y5"),F21,IF(印刷プレビュー!$X35="","",VLOOKUP(印刷プレビュー!$X35,データシート!$B$70:AC468,8,FALSE)))</f>
        <v/>
      </c>
      <c r="J26" s="38" t="str">
        <f>IF(印刷プレビュー!$X35="","",VLOOKUP(印刷プレビュー!$X35,データシート!$B$70:AD468,9,FALSE))</f>
        <v/>
      </c>
      <c r="K26" s="38" t="str">
        <f>IF(印刷プレビュー!$X35="","",VLOOKUP(印刷プレビュー!$X35,データシート!$B$70:AE468,10,FALSE))</f>
        <v/>
      </c>
      <c r="L26" s="30" t="str">
        <f>IF(印刷プレビュー!$X35="","",VLOOKUP(印刷プレビュー!$X35,データシート!$B$70:AF468,11,FALSE))</f>
        <v/>
      </c>
      <c r="M26" s="38" t="str">
        <f>IF(OR(W26="Y4",W26="Y5"),F21,IF(印刷プレビュー!$X35="","",VLOOKUP(印刷プレビュー!$X35,データシート!$B$70:AG468,12,FALSE)))</f>
        <v/>
      </c>
      <c r="N26" s="38" t="str">
        <f>IF(印刷プレビュー!$X35="","",VLOOKUP(印刷プレビュー!$X35,データシート!$B$70:AH468,13,FALSE))</f>
        <v/>
      </c>
      <c r="O26" s="38" t="str">
        <f>IF(印刷プレビュー!$X35="","",VLOOKUP(印刷プレビュー!$X35,データシート!$B$70:AI468,14,FALSE))</f>
        <v/>
      </c>
      <c r="P26" s="30" t="str">
        <f>IF(印刷プレビュー!$X35="","",VLOOKUP(印刷プレビュー!$X35,データシート!$B$70:AJ468,15,FALSE))</f>
        <v/>
      </c>
      <c r="Q26" s="38" t="str">
        <f>IF(印刷プレビュー!$X35="","",VLOOKUP(印刷プレビュー!$X35,データシート!$B$70:AK468,16,FALSE))</f>
        <v/>
      </c>
      <c r="R26" s="76" t="str">
        <f>IF(印刷プレビュー!$X35="","",VLOOKUP(印刷プレビュー!$X35,データシート!$B$70:AL468,17,FALSE))</f>
        <v/>
      </c>
      <c r="S26" s="38" t="str">
        <f>IF(印刷プレビュー!$X35="","",VLOOKUP(印刷プレビュー!$X35,データシート!$B$70:AM468,18,FALSE))</f>
        <v/>
      </c>
      <c r="T26" s="38" t="str">
        <f>IF(印刷プレビュー!$X35="","",VLOOKUP(印刷プレビュー!$X35,データシート!$B$70:AN468,19,FALSE))</f>
        <v/>
      </c>
      <c r="U26" s="38" t="str">
        <f>IF(印刷プレビュー!$X35="","",VLOOKUP(印刷プレビュー!$X35,データシート!$B$70:AO468,20,FALSE))</f>
        <v/>
      </c>
      <c r="V26" s="38" t="str">
        <f>IF(印刷プレビュー!$X35="","",VLOOKUP(印刷プレビュー!$X35,データシート!$B$70:AP468,21,FALSE))</f>
        <v/>
      </c>
      <c r="W26" s="38" t="str">
        <f>IF(印刷プレビュー!$X35="","",VLOOKUP(印刷プレビュー!$X35,データシート!$B$70:AP468,22,FALSE))</f>
        <v/>
      </c>
    </row>
    <row r="27" spans="1:28">
      <c r="B27" s="189" t="str">
        <f>IF(印刷プレビュー!X36="","",印刷プレビュー!X36)</f>
        <v/>
      </c>
      <c r="C27" s="189"/>
      <c r="D27" s="38" t="str">
        <f>IF(印刷プレビュー!$X36="","",VLOOKUP(印刷プレビュー!$X36,データシート!$B$70:X468,3,FALSE))</f>
        <v/>
      </c>
      <c r="E27" s="38" t="str">
        <f>IF(印刷プレビュー!$X36="","",VLOOKUP(印刷プレビュー!$X36,データシート!$B$70:Y468,4,FALSE))</f>
        <v/>
      </c>
      <c r="F27" s="38" t="str">
        <f>IF(印刷プレビュー!$X36="","",VLOOKUP(印刷プレビュー!$X36,データシート!$B$70:Z468,5,FALSE))</f>
        <v/>
      </c>
      <c r="G27" s="38" t="str">
        <f>IF(印刷プレビュー!$X36="","",VLOOKUP(印刷プレビュー!$X36,データシート!$B$70:AA468,6,FALSE))</f>
        <v/>
      </c>
      <c r="H27" s="38" t="str">
        <f>IF(印刷プレビュー!$X36="","",VLOOKUP(印刷プレビュー!$X36,データシート!$B$70:AB468,7,FALSE))</f>
        <v/>
      </c>
      <c r="I27" s="38" t="str">
        <f>IF(印刷プレビュー!$X36="","",VLOOKUP(印刷プレビュー!$X36,データシート!$B$70:AC468,8,FALSE))</f>
        <v/>
      </c>
      <c r="J27" s="38" t="str">
        <f>IF(印刷プレビュー!$X36="","",VLOOKUP(印刷プレビュー!$X36,データシート!$B$70:AD468,9,FALSE))</f>
        <v/>
      </c>
      <c r="K27" s="38" t="str">
        <f>IF(印刷プレビュー!$X36="","",VLOOKUP(印刷プレビュー!$X36,データシート!$B$70:AE468,10,FALSE))</f>
        <v/>
      </c>
      <c r="L27" s="30" t="str">
        <f>IF(印刷プレビュー!$X36="","",VLOOKUP(印刷プレビュー!$X36,データシート!$B$70:AF468,11,FALSE))</f>
        <v/>
      </c>
      <c r="M27" s="38" t="str">
        <f>IF(印刷プレビュー!$X36="","",VLOOKUP(印刷プレビュー!$X36,データシート!$B$70:AG468,12,FALSE))</f>
        <v/>
      </c>
      <c r="N27" s="38" t="str">
        <f>IF(印刷プレビュー!$X36="","",VLOOKUP(印刷プレビュー!$X36,データシート!$B$70:AH468,13,FALSE))</f>
        <v/>
      </c>
      <c r="O27" s="38" t="str">
        <f>IF(印刷プレビュー!$X36="","",VLOOKUP(印刷プレビュー!$X36,データシート!$B$70:AI468,14,FALSE))</f>
        <v/>
      </c>
      <c r="P27" s="30" t="str">
        <f>IF(印刷プレビュー!$X36="","",VLOOKUP(印刷プレビュー!$X36,データシート!$B$70:AJ468,15,FALSE))</f>
        <v/>
      </c>
      <c r="Q27" s="38" t="str">
        <f>IF(印刷プレビュー!$X36="","",VLOOKUP(印刷プレビュー!$X36,データシート!$B$70:AK468,16,FALSE))</f>
        <v/>
      </c>
      <c r="R27" s="76" t="str">
        <f>IF(印刷プレビュー!$X36="","",VLOOKUP(印刷プレビュー!$X36,データシート!$B$70:AL468,17,FALSE))</f>
        <v/>
      </c>
      <c r="S27" s="38" t="str">
        <f>IF(印刷プレビュー!$X36="","",VLOOKUP(印刷プレビュー!$X36,データシート!$B$70:AM468,18,FALSE))</f>
        <v/>
      </c>
      <c r="T27" s="38" t="str">
        <f>IF(印刷プレビュー!$X36="","",VLOOKUP(印刷プレビュー!$X36,データシート!$B$70:AN468,19,FALSE))</f>
        <v/>
      </c>
      <c r="U27" s="38" t="str">
        <f>IF(印刷プレビュー!$X36="","",VLOOKUP(印刷プレビュー!$X36,データシート!$B$70:AO468,20,FALSE))</f>
        <v/>
      </c>
      <c r="V27" s="38" t="str">
        <f>IF(印刷プレビュー!$X36="","",VLOOKUP(印刷プレビュー!$X36,データシート!$B$70:AP468,21,FALSE))</f>
        <v/>
      </c>
      <c r="W27" s="38" t="str">
        <f>IF(印刷プレビュー!$X36="","",VLOOKUP(印刷プレビュー!$X36,データシート!$B$70:AP468,22,FALSE))</f>
        <v/>
      </c>
    </row>
    <row r="28" spans="1:28">
      <c r="B28" s="189" t="str">
        <f>IF(印刷プレビュー!X37="","",印刷プレビュー!X37)</f>
        <v/>
      </c>
      <c r="C28" s="189"/>
      <c r="D28" s="38" t="str">
        <f>IF(印刷プレビュー!$X37="","",VLOOKUP(印刷プレビュー!$X37,データシート!$B$70:X468,3,FALSE))</f>
        <v/>
      </c>
      <c r="E28" s="38" t="str">
        <f>IF(印刷プレビュー!$X37="","",VLOOKUP(印刷プレビュー!$X37,データシート!$B$70:Y468,4,FALSE))</f>
        <v/>
      </c>
      <c r="F28" s="38" t="str">
        <f>IF(印刷プレビュー!$X37="","",VLOOKUP(印刷プレビュー!$X37,データシート!$B$70:Z468,5,FALSE))</f>
        <v/>
      </c>
      <c r="G28" s="38" t="str">
        <f>IF(印刷プレビュー!$X37="","",VLOOKUP(印刷プレビュー!$X37,データシート!$B$70:AA468,6,FALSE))</f>
        <v/>
      </c>
      <c r="H28" s="38" t="str">
        <f>IF(印刷プレビュー!$X37="","",VLOOKUP(印刷プレビュー!$X37,データシート!$B$70:AB468,7,FALSE))</f>
        <v/>
      </c>
      <c r="I28" s="38" t="str">
        <f>IF(印刷プレビュー!$X37="","",VLOOKUP(印刷プレビュー!$X37,データシート!$B$70:AC468,8,FALSE))</f>
        <v/>
      </c>
      <c r="J28" s="38" t="str">
        <f>IF(印刷プレビュー!$X37="","",VLOOKUP(印刷プレビュー!$X37,データシート!$B$70:AD468,9,FALSE))</f>
        <v/>
      </c>
      <c r="K28" s="38" t="str">
        <f>IF(印刷プレビュー!$X37="","",VLOOKUP(印刷プレビュー!$X37,データシート!$B$70:AE468,10,FALSE))</f>
        <v/>
      </c>
      <c r="L28" s="30" t="str">
        <f>IF(印刷プレビュー!$X37="","",VLOOKUP(印刷プレビュー!$X37,データシート!$B$70:AF468,11,FALSE))</f>
        <v/>
      </c>
      <c r="M28" s="38" t="str">
        <f>IF(印刷プレビュー!$X37="","",VLOOKUP(印刷プレビュー!$X37,データシート!$B$70:AG468,12,FALSE))</f>
        <v/>
      </c>
      <c r="N28" s="38" t="str">
        <f>IF(印刷プレビュー!$X37="","",VLOOKUP(印刷プレビュー!$X37,データシート!$B$70:AH468,13,FALSE))</f>
        <v/>
      </c>
      <c r="O28" s="38" t="str">
        <f>IF(印刷プレビュー!$X37="","",VLOOKUP(印刷プレビュー!$X37,データシート!$B$70:AI468,14,FALSE))</f>
        <v/>
      </c>
      <c r="P28" s="30" t="str">
        <f>IF(印刷プレビュー!$X37="","",VLOOKUP(印刷プレビュー!$X37,データシート!$B$70:AJ468,15,FALSE))</f>
        <v/>
      </c>
      <c r="Q28" s="38" t="str">
        <f>IF(印刷プレビュー!$X37="","",VLOOKUP(印刷プレビュー!$X37,データシート!$B$70:AK468,16,FALSE))</f>
        <v/>
      </c>
      <c r="R28" s="76" t="str">
        <f>IF(印刷プレビュー!$X37="","",VLOOKUP(印刷プレビュー!$X37,データシート!$B$70:AL468,17,FALSE))</f>
        <v/>
      </c>
      <c r="S28" s="38" t="str">
        <f>IF(印刷プレビュー!$X37="","",VLOOKUP(印刷プレビュー!$X37,データシート!$B$70:AM468,18,FALSE))</f>
        <v/>
      </c>
      <c r="T28" s="38" t="str">
        <f>IF(印刷プレビュー!$X37="","",VLOOKUP(印刷プレビュー!$X37,データシート!$B$70:AN468,19,FALSE))</f>
        <v/>
      </c>
      <c r="U28" s="38" t="str">
        <f>IF(印刷プレビュー!$X37="","",VLOOKUP(印刷プレビュー!$X37,データシート!$B$70:AO468,20,FALSE))</f>
        <v/>
      </c>
      <c r="V28" s="38" t="str">
        <f>IF(印刷プレビュー!$X37="","",VLOOKUP(印刷プレビュー!$X37,データシート!$B$70:AP468,21,FALSE))</f>
        <v/>
      </c>
      <c r="W28" s="38" t="str">
        <f>IF(印刷プレビュー!$X37="","",VLOOKUP(印刷プレビュー!$X37,データシート!$B$70:AP468,22,FALSE))</f>
        <v/>
      </c>
    </row>
    <row r="29" spans="1:28">
      <c r="B29" s="189" t="str">
        <f>IF(印刷プレビュー!X38="","",印刷プレビュー!X38)</f>
        <v/>
      </c>
      <c r="C29" s="189"/>
      <c r="D29" s="38" t="str">
        <f>IF(印刷プレビュー!$X38="","",VLOOKUP(印刷プレビュー!$X38,データシート!$B$70:X468,3,FALSE))</f>
        <v/>
      </c>
      <c r="E29" s="38" t="str">
        <f>IF(印刷プレビュー!$X38="","",VLOOKUP(印刷プレビュー!$X38,データシート!$B$70:Y468,4,FALSE))</f>
        <v/>
      </c>
      <c r="F29" s="38" t="str">
        <f>IF(印刷プレビュー!$X38="","",VLOOKUP(印刷プレビュー!$X38,データシート!$B$70:Z468,5,FALSE))</f>
        <v/>
      </c>
      <c r="G29" s="38" t="str">
        <f>IF(印刷プレビュー!$X38="","",VLOOKUP(印刷プレビュー!$X38,データシート!$B$70:AA468,6,FALSE))</f>
        <v/>
      </c>
      <c r="H29" s="38" t="str">
        <f>IF(印刷プレビュー!$X38="","",VLOOKUP(印刷プレビュー!$X38,データシート!$B$70:AB468,7,FALSE))</f>
        <v/>
      </c>
      <c r="I29" s="38" t="str">
        <f>IF(印刷プレビュー!$X38="","",VLOOKUP(印刷プレビュー!$X38,データシート!$B$70:AC468,8,FALSE))</f>
        <v/>
      </c>
      <c r="J29" s="38" t="str">
        <f>IF(印刷プレビュー!$X38="","",VLOOKUP(印刷プレビュー!$X38,データシート!$B$70:AD468,9,FALSE))</f>
        <v/>
      </c>
      <c r="K29" s="38" t="str">
        <f>IF(印刷プレビュー!$X38="","",VLOOKUP(印刷プレビュー!$X38,データシート!$B$70:AE468,10,FALSE))</f>
        <v/>
      </c>
      <c r="L29" s="30" t="str">
        <f>IF(印刷プレビュー!$X38="","",VLOOKUP(印刷プレビュー!$X38,データシート!$B$70:AF468,11,FALSE))</f>
        <v/>
      </c>
      <c r="M29" s="38" t="str">
        <f>IF(印刷プレビュー!$X38="","",VLOOKUP(印刷プレビュー!$X38,データシート!$B$70:AG468,12,FALSE))</f>
        <v/>
      </c>
      <c r="N29" s="38" t="str">
        <f>IF(印刷プレビュー!$X38="","",VLOOKUP(印刷プレビュー!$X38,データシート!$B$70:AH468,13,FALSE))</f>
        <v/>
      </c>
      <c r="O29" s="38" t="str">
        <f>IF(印刷プレビュー!$X38="","",VLOOKUP(印刷プレビュー!$X38,データシート!$B$70:AI468,14,FALSE))</f>
        <v/>
      </c>
      <c r="P29" s="30" t="str">
        <f>IF(印刷プレビュー!$X38="","",VLOOKUP(印刷プレビュー!$X38,データシート!$B$70:AJ468,15,FALSE))</f>
        <v/>
      </c>
      <c r="Q29" s="38" t="str">
        <f>IF(印刷プレビュー!$X38="","",VLOOKUP(印刷プレビュー!$X38,データシート!$B$70:AK468,16,FALSE))</f>
        <v/>
      </c>
      <c r="R29" s="76" t="str">
        <f>IF(印刷プレビュー!$X38="","",VLOOKUP(印刷プレビュー!$X38,データシート!$B$70:AL468,17,FALSE))</f>
        <v/>
      </c>
      <c r="S29" s="38" t="str">
        <f>IF(印刷プレビュー!$X38="","",VLOOKUP(印刷プレビュー!$X38,データシート!$B$70:AM468,18,FALSE))</f>
        <v/>
      </c>
      <c r="T29" s="38" t="str">
        <f>IF(印刷プレビュー!$X38="","",VLOOKUP(印刷プレビュー!$X38,データシート!$B$70:AN468,19,FALSE))</f>
        <v/>
      </c>
      <c r="U29" s="38" t="str">
        <f>IF(印刷プレビュー!$X38="","",VLOOKUP(印刷プレビュー!$X38,データシート!$B$70:AO468,20,FALSE))</f>
        <v/>
      </c>
      <c r="V29" s="38" t="str">
        <f>IF(印刷プレビュー!$X38="","",VLOOKUP(印刷プレビュー!$X38,データシート!$B$70:AP468,21,FALSE))</f>
        <v/>
      </c>
      <c r="W29" s="38" t="str">
        <f>IF(印刷プレビュー!$X38="","",VLOOKUP(印刷プレビュー!$X38,データシート!$B$70:AP468,22,FALSE))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IF(印刷プレビュー!$X40="","",VLOOKUP(印刷プレビュー!$X40,データシート!$B$70:X468,3,FALSE))</f>
        <v/>
      </c>
      <c r="I32" s="37" t="s">
        <v>98</v>
      </c>
      <c r="K32" s="37" t="s">
        <v>99</v>
      </c>
      <c r="M32" s="37" t="s">
        <v>98</v>
      </c>
      <c r="N32" s="37" t="s">
        <v>99</v>
      </c>
    </row>
    <row r="33" spans="1:29">
      <c r="D33" s="38" t="str">
        <f>IF(印刷プレビュー!$X41="","",VLOOKUP(印刷プレビュー!$X41,データシート!$B$70:X468,3,FALSE))</f>
        <v/>
      </c>
    </row>
    <row r="34" spans="1:29">
      <c r="A34" t="s">
        <v>106</v>
      </c>
      <c r="D34" s="38" t="str">
        <f>IF(印刷プレビュー!$X42="","",VLOOKUP(印刷プレビュー!$X42,データシート!$B$70:X468,3,FALSE))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89" t="str">
        <f>IF(印刷プレビュー!X45="","",印刷プレビュー!X45)</f>
        <v/>
      </c>
      <c r="C36" s="189"/>
      <c r="D36" s="38" t="str">
        <f>IF(印刷プレビュー!$X45="","",VLOOKUP(印刷プレビュー!$X45,データシート!$B$70:X468,3,FALSE))</f>
        <v/>
      </c>
      <c r="E36" s="38" t="str">
        <f>IF(印刷プレビュー!$X45="","",VLOOKUP(印刷プレビュー!$X45,データシート!$B$70:Y468,4,FALSE))</f>
        <v/>
      </c>
      <c r="F36" s="38" t="str">
        <f>IF(印刷プレビュー!$X45="","",VLOOKUP(印刷プレビュー!$X45,データシート!$B$70:Z468,5,FALSE))</f>
        <v/>
      </c>
      <c r="G36" s="38" t="str">
        <f>IF(印刷プレビュー!$X45="","",VLOOKUP(印刷プレビュー!$X45,データシート!$B$70:AA468,6,FALSE))</f>
        <v/>
      </c>
      <c r="H36" s="38" t="str">
        <f>IF(印刷プレビュー!$X45="","",VLOOKUP(印刷プレビュー!$X45,データシート!$B$70:AB468,7,FALSE))</f>
        <v/>
      </c>
      <c r="I36" s="38" t="str">
        <f>IF(印刷プレビュー!$X45="","",VLOOKUP(印刷プレビュー!$X45,データシート!$B$70:AC468,8,FALSE))</f>
        <v/>
      </c>
      <c r="J36" s="38" t="str">
        <f>IF(印刷プレビュー!$X45="","",VLOOKUP(印刷プレビュー!$X45,データシート!$B$70:AD468,9,FALSE))</f>
        <v/>
      </c>
      <c r="K36" s="38" t="str">
        <f>IF(印刷プレビュー!$X45="","",VLOOKUP(印刷プレビュー!$X45,データシート!$B$70:AE468,10,FALSE))</f>
        <v/>
      </c>
      <c r="L36" s="30" t="str">
        <f>IF(印刷プレビュー!$X45="","",VLOOKUP(印刷プレビュー!$X45,データシート!$B$70:AF468,11,FALSE))</f>
        <v/>
      </c>
      <c r="M36" s="38" t="str">
        <f>IF(印刷プレビュー!$X45="","",VLOOKUP(印刷プレビュー!$X45,データシート!$B$70:AG468,12,FALSE))</f>
        <v/>
      </c>
      <c r="N36" s="38" t="str">
        <f>IF(印刷プレビュー!$X45="","",VLOOKUP(印刷プレビュー!$X45,データシート!$B$70:AH468,13,FALSE))</f>
        <v/>
      </c>
      <c r="O36" s="38" t="str">
        <f>IF(印刷プレビュー!$X45="","",VLOOKUP(印刷プレビュー!$X45,データシート!$B$70:AI468,14,FALSE))</f>
        <v/>
      </c>
      <c r="P36" s="30" t="str">
        <f>IF(印刷プレビュー!$X45="","",VLOOKUP(印刷プレビュー!$X45,データシート!$B$70:AJ468,15,FALSE))</f>
        <v/>
      </c>
      <c r="Q36" s="38" t="str">
        <f>IF(印刷プレビュー!$X45="","",VLOOKUP(印刷プレビュー!$X45,データシート!$B$70:AK468,16,FALSE))</f>
        <v/>
      </c>
      <c r="R36" s="76" t="str">
        <f>IF(印刷プレビュー!$X45="","",VLOOKUP(印刷プレビュー!$X45,データシート!$B$70:AL468,17,FALSE))</f>
        <v/>
      </c>
      <c r="S36" s="38" t="str">
        <f>IF(印刷プレビュー!$X45="","",VLOOKUP(印刷プレビュー!$X45,データシート!$B$70:AM468,18,FALSE))</f>
        <v/>
      </c>
      <c r="T36" s="38" t="str">
        <f>IF(印刷プレビュー!$X45="","",VLOOKUP(印刷プレビュー!$X45,データシート!$B$70:AN468,19,FALSE))</f>
        <v/>
      </c>
      <c r="U36" s="38" t="str">
        <f>IF(印刷プレビュー!$X45="","",VLOOKUP(印刷プレビュー!$X45,データシート!$B$70:AO468,20,FALSE))</f>
        <v/>
      </c>
      <c r="V36" s="38" t="str">
        <f>IF(印刷プレビュー!$X45="","",VLOOKUP(印刷プレビュー!$X45,データシート!$B$70:AP468,21,FALSE))</f>
        <v/>
      </c>
      <c r="W36" s="38" t="str">
        <f>IF(印刷プレビュー!$X4="","",VLOOKUP(印刷プレビュー!$X4,データシート!$B$70:AP468,22,FALSE))</f>
        <v/>
      </c>
    </row>
    <row r="37" spans="1:29">
      <c r="B37" s="189" t="str">
        <f>IF(印刷プレビュー!X46="","",印刷プレビュー!X46)</f>
        <v/>
      </c>
      <c r="C37" s="189"/>
      <c r="D37" s="38" t="str">
        <f>IF(印刷プレビュー!$X46="","",VLOOKUP(印刷プレビュー!$X46,データシート!$B$70:X468,3,FALSE))</f>
        <v/>
      </c>
      <c r="E37" s="38" t="str">
        <f>IF(印刷プレビュー!$X46="","",VLOOKUP(印刷プレビュー!$X46,データシート!$B$70:Y468,4,FALSE))</f>
        <v/>
      </c>
      <c r="F37" s="38" t="str">
        <f>IF(印刷プレビュー!$X46="","",VLOOKUP(印刷プレビュー!$X46,データシート!$B$70:Z468,5,FALSE))</f>
        <v/>
      </c>
      <c r="G37" s="38" t="str">
        <f>IF(印刷プレビュー!$X46="","",VLOOKUP(印刷プレビュー!$X46,データシート!$B$70:AA468,6,FALSE))</f>
        <v/>
      </c>
      <c r="H37" s="38" t="str">
        <f>IF(印刷プレビュー!$X46="","",VLOOKUP(印刷プレビュー!$X46,データシート!$B$70:AB468,7,FALSE))</f>
        <v/>
      </c>
      <c r="I37" s="38" t="str">
        <f>IF(印刷プレビュー!$X46="","",VLOOKUP(印刷プレビュー!$X46,データシート!$B$70:AC468,8,FALSE))</f>
        <v/>
      </c>
      <c r="J37" s="38" t="str">
        <f>IF(印刷プレビュー!$X46="","",VLOOKUP(印刷プレビュー!$X46,データシート!$B$70:AD468,9,FALSE))</f>
        <v/>
      </c>
      <c r="K37" s="38" t="str">
        <f>IF(印刷プレビュー!$X46="","",VLOOKUP(印刷プレビュー!$X46,データシート!$B$70:AE468,10,FALSE))</f>
        <v/>
      </c>
      <c r="L37" s="30" t="str">
        <f>IF(印刷プレビュー!$X46="","",VLOOKUP(印刷プレビュー!$X46,データシート!$B$70:AF468,11,FALSE))</f>
        <v/>
      </c>
      <c r="M37" s="38" t="str">
        <f>IF(印刷プレビュー!$X46="","",VLOOKUP(印刷プレビュー!$X46,データシート!$B$70:AG468,12,FALSE))</f>
        <v/>
      </c>
      <c r="N37" s="38" t="str">
        <f>IF(印刷プレビュー!$X46="","",VLOOKUP(印刷プレビュー!$X46,データシート!$B$70:AH468,13,FALSE))</f>
        <v/>
      </c>
      <c r="O37" s="38" t="str">
        <f>IF(印刷プレビュー!$X46="","",VLOOKUP(印刷プレビュー!$X46,データシート!$B$70:AI468,14,FALSE))</f>
        <v/>
      </c>
      <c r="P37" s="30" t="str">
        <f>IF(印刷プレビュー!$X46="","",VLOOKUP(印刷プレビュー!$X46,データシート!$B$70:AJ468,15,FALSE))</f>
        <v/>
      </c>
      <c r="Q37" s="38" t="str">
        <f>IF(印刷プレビュー!$X46="","",VLOOKUP(印刷プレビュー!$X46,データシート!$B$70:AK468,16,FALSE))</f>
        <v/>
      </c>
      <c r="R37" s="76" t="str">
        <f>IF(印刷プレビュー!$X46="","",VLOOKUP(印刷プレビュー!$X46,データシート!$B$70:AL468,17,FALSE))</f>
        <v/>
      </c>
      <c r="S37" s="38" t="str">
        <f>IF(印刷プレビュー!$X46="","",VLOOKUP(印刷プレビュー!$X46,データシート!$B$70:AM468,18,FALSE))</f>
        <v/>
      </c>
      <c r="T37" s="38" t="str">
        <f>IF(印刷プレビュー!$X46="","",VLOOKUP(印刷プレビュー!$X46,データシート!$B$70:AN468,19,FALSE))</f>
        <v/>
      </c>
      <c r="U37" s="38" t="str">
        <f>IF(印刷プレビュー!$X46="","",VLOOKUP(印刷プレビュー!$X46,データシート!$B$70:AO468,20,FALSE))</f>
        <v/>
      </c>
      <c r="V37" s="38" t="str">
        <f>IF(印刷プレビュー!$X46="","",VLOOKUP(印刷プレビュー!$X46,データシート!$B$70:AP468,21,FALSE))</f>
        <v/>
      </c>
      <c r="W37" s="38" t="str">
        <f>IF(印刷プレビュー!$X45="","",VLOOKUP(印刷プレビュー!$X45,データシート!$B$70:AP468,22,FALSE))</f>
        <v/>
      </c>
    </row>
    <row r="38" spans="1:29">
      <c r="B38" s="189" t="str">
        <f>IF(印刷プレビュー!X47="","",印刷プレビュー!X47)</f>
        <v/>
      </c>
      <c r="C38" s="189"/>
      <c r="D38" s="38" t="str">
        <f>IF(印刷プレビュー!$X47="","",VLOOKUP(印刷プレビュー!$X47,データシート!$B$70:X469,3,FALSE))</f>
        <v/>
      </c>
      <c r="E38" s="38" t="str">
        <f>IF(印刷プレビュー!$X47="","",VLOOKUP(印刷プレビュー!$X47,データシート!$B$70:Y469,4,FALSE))</f>
        <v/>
      </c>
      <c r="F38" s="38" t="str">
        <f>IF(印刷プレビュー!$X47="","",VLOOKUP(印刷プレビュー!$X47,データシート!$B$70:Z469,5,FALSE))</f>
        <v/>
      </c>
      <c r="G38" s="38" t="str">
        <f>IF(印刷プレビュー!$X47="","",VLOOKUP(印刷プレビュー!$X47,データシート!$B$70:AA469,6,FALSE))</f>
        <v/>
      </c>
      <c r="H38" s="38" t="str">
        <f>IF(印刷プレビュー!$X47="","",VLOOKUP(印刷プレビュー!$X47,データシート!$B$70:AB469,7,FALSE))</f>
        <v/>
      </c>
      <c r="I38" s="38" t="str">
        <f>IF(印刷プレビュー!$X47="","",VLOOKUP(印刷プレビュー!$X47,データシート!$B$70:AC469,8,FALSE))</f>
        <v/>
      </c>
      <c r="J38" s="38" t="str">
        <f>IF(印刷プレビュー!$X47="","",VLOOKUP(印刷プレビュー!$X47,データシート!$B$70:AD469,9,FALSE))</f>
        <v/>
      </c>
      <c r="K38" s="38" t="str">
        <f>IF(印刷プレビュー!$X47="","",VLOOKUP(印刷プレビュー!$X47,データシート!$B$70:AE469,10,FALSE))</f>
        <v/>
      </c>
      <c r="L38" s="30" t="str">
        <f>IF(印刷プレビュー!$X47="","",VLOOKUP(印刷プレビュー!$X47,データシート!$B$70:AF469,11,FALSE))</f>
        <v/>
      </c>
      <c r="M38" s="38" t="str">
        <f>IF(印刷プレビュー!$X47="","",VLOOKUP(印刷プレビュー!$X47,データシート!$B$70:AG469,12,FALSE))</f>
        <v/>
      </c>
      <c r="N38" s="38" t="str">
        <f>IF(印刷プレビュー!$X47="","",VLOOKUP(印刷プレビュー!$X47,データシート!$B$70:AH469,13,FALSE))</f>
        <v/>
      </c>
      <c r="O38" s="38" t="str">
        <f>IF(印刷プレビュー!$X47="","",VLOOKUP(印刷プレビュー!$X47,データシート!$B$70:AI469,14,FALSE))</f>
        <v/>
      </c>
      <c r="P38" s="30" t="str">
        <f>IF(印刷プレビュー!$X47="","",VLOOKUP(印刷プレビュー!$X47,データシート!$B$70:AJ469,15,FALSE))</f>
        <v/>
      </c>
      <c r="Q38" s="38" t="str">
        <f>IF(印刷プレビュー!$X47="","",VLOOKUP(印刷プレビュー!$X47,データシート!$B$70:AK469,16,FALSE))</f>
        <v/>
      </c>
      <c r="R38" s="76" t="str">
        <f>IF(印刷プレビュー!$X47="","",VLOOKUP(印刷プレビュー!$X47,データシート!$B$70:AL469,17,FALSE))</f>
        <v/>
      </c>
      <c r="S38" s="38" t="str">
        <f>IF(印刷プレビュー!$X47="","",VLOOKUP(印刷プレビュー!$X47,データシート!$B$70:AM469,18,FALSE))</f>
        <v/>
      </c>
      <c r="T38" s="38" t="str">
        <f>IF(印刷プレビュー!$X47="","",VLOOKUP(印刷プレビュー!$X47,データシート!$B$70:AN469,19,FALSE))</f>
        <v/>
      </c>
      <c r="U38" s="38" t="str">
        <f>IF(印刷プレビュー!$X47="","",VLOOKUP(印刷プレビュー!$X47,データシート!$B$70:AO469,20,FALSE))</f>
        <v/>
      </c>
      <c r="V38" s="38" t="str">
        <f>IF(印刷プレビュー!$X47="","",VLOOKUP(印刷プレビュー!$X47,データシート!$B$70:AP469,21,FALSE))</f>
        <v/>
      </c>
      <c r="W38" s="38" t="str">
        <f>IF(印刷プレビュー!$X46="","",VLOOKUP(印刷プレビュー!$X46,データシート!$B$70:AP468,22,FALSE))</f>
        <v/>
      </c>
    </row>
    <row r="39" spans="1:29">
      <c r="B39" s="189" t="str">
        <f>IF(印刷プレビュー!X48="","",印刷プレビュー!X48)</f>
        <v/>
      </c>
      <c r="C39" s="189"/>
      <c r="D39" s="38" t="str">
        <f>IF(印刷プレビュー!$X48="","",VLOOKUP(印刷プレビュー!$X48,データシート!$B$70:X470,3,FALSE))</f>
        <v/>
      </c>
      <c r="E39" s="38" t="str">
        <f>IF(印刷プレビュー!$X48="","",VLOOKUP(印刷プレビュー!$X48,データシート!$B$70:Y470,4,FALSE))</f>
        <v/>
      </c>
      <c r="F39" s="38" t="str">
        <f>IF(印刷プレビュー!$X48="","",VLOOKUP(印刷プレビュー!$X48,データシート!$B$70:Z470,5,FALSE))</f>
        <v/>
      </c>
      <c r="G39" s="38" t="str">
        <f>IF(印刷プレビュー!$X48="","",VLOOKUP(印刷プレビュー!$X48,データシート!$B$70:AA470,6,FALSE))</f>
        <v/>
      </c>
      <c r="H39" s="38" t="str">
        <f>IF(印刷プレビュー!$X48="","",VLOOKUP(印刷プレビュー!$X48,データシート!$B$70:AB470,7,FALSE))</f>
        <v/>
      </c>
      <c r="I39" s="38" t="str">
        <f>IF(印刷プレビュー!$X48="","",VLOOKUP(印刷プレビュー!$X48,データシート!$B$70:AC470,8,FALSE))</f>
        <v/>
      </c>
      <c r="J39" s="38" t="str">
        <f>IF(印刷プレビュー!$X48="","",VLOOKUP(印刷プレビュー!$X48,データシート!$B$70:AD470,9,FALSE))</f>
        <v/>
      </c>
      <c r="K39" s="38" t="str">
        <f>IF(印刷プレビュー!$X48="","",VLOOKUP(印刷プレビュー!$X48,データシート!$B$70:AE470,10,FALSE))</f>
        <v/>
      </c>
      <c r="L39" s="30" t="str">
        <f>IF(印刷プレビュー!$X48="","",VLOOKUP(印刷プレビュー!$X48,データシート!$B$70:AF470,11,FALSE))</f>
        <v/>
      </c>
      <c r="M39" s="38" t="str">
        <f>IF(印刷プレビュー!$X48="","",VLOOKUP(印刷プレビュー!$X48,データシート!$B$70:AG470,12,FALSE))</f>
        <v/>
      </c>
      <c r="N39" s="38" t="str">
        <f>IF(印刷プレビュー!$X48="","",VLOOKUP(印刷プレビュー!$X48,データシート!$B$70:AH470,13,FALSE))</f>
        <v/>
      </c>
      <c r="O39" s="38" t="str">
        <f>IF(印刷プレビュー!$X48="","",VLOOKUP(印刷プレビュー!$X48,データシート!$B$70:AI470,14,FALSE))</f>
        <v/>
      </c>
      <c r="P39" s="30" t="str">
        <f>IF(印刷プレビュー!$X48="","",VLOOKUP(印刷プレビュー!$X48,データシート!$B$70:AJ470,15,FALSE))</f>
        <v/>
      </c>
      <c r="Q39" s="38" t="str">
        <f>IF(印刷プレビュー!$X48="","",VLOOKUP(印刷プレビュー!$X48,データシート!$B$70:AK470,16,FALSE))</f>
        <v/>
      </c>
      <c r="R39" s="76" t="str">
        <f>IF(印刷プレビュー!$X48="","",VLOOKUP(印刷プレビュー!$X48,データシート!$B$70:AL470,17,FALSE))</f>
        <v/>
      </c>
      <c r="S39" s="38" t="str">
        <f>IF(印刷プレビュー!$X48="","",VLOOKUP(印刷プレビュー!$X48,データシート!$B$70:AM470,18,FALSE))</f>
        <v/>
      </c>
      <c r="T39" s="38" t="str">
        <f>IF(印刷プレビュー!$X48="","",VLOOKUP(印刷プレビュー!$X48,データシート!$B$70:AN470,19,FALSE))</f>
        <v/>
      </c>
      <c r="U39" s="38" t="str">
        <f>IF(印刷プレビュー!$X48="","",VLOOKUP(印刷プレビュー!$X48,データシート!$B$70:AO470,20,FALSE))</f>
        <v/>
      </c>
      <c r="V39" s="38" t="str">
        <f>IF(印刷プレビュー!$X48="","",VLOOKUP(印刷プレビュー!$X48,データシート!$B$70:AP470,21,FALSE))</f>
        <v/>
      </c>
      <c r="W39" s="38" t="str">
        <f>IF(印刷プレビュー!$X47="","",VLOOKUP(印刷プレビュー!$X47,データシート!$B$70:AP469,22,FALSE))</f>
        <v/>
      </c>
    </row>
    <row r="40" spans="1:29">
      <c r="D40" s="38" t="str">
        <f>IF(印刷プレビュー!$X48="","",VLOOKUP(印刷プレビュー!$X48,データシート!$B$70:X470,3,FALSE))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1" t="s">
        <v>136</v>
      </c>
      <c r="Y49" s="191"/>
      <c r="Z49" s="78" t="s">
        <v>122</v>
      </c>
      <c r="AC49" s="78" t="s">
        <v>145</v>
      </c>
    </row>
    <row r="50" spans="16:29">
      <c r="P50" s="94" t="e">
        <f>VALUE(IF(P47+R47&gt;300,P47+R47-300,0))</f>
        <v>#VALUE!</v>
      </c>
      <c r="Q50" s="37" t="e">
        <f>IF(P50="","","通算キロオーバー"&amp;"  "&amp;TEXT(P50,"###.#")&amp;"km")</f>
        <v>#VALUE!</v>
      </c>
      <c r="W50" s="73" t="s">
        <v>190</v>
      </c>
      <c r="X50" s="71">
        <v>0.35208333333333336</v>
      </c>
      <c r="Y50" s="108">
        <v>0.31041666666666667</v>
      </c>
    </row>
    <row r="51" spans="16:29">
      <c r="P51" s="75"/>
      <c r="X51" s="37"/>
    </row>
    <row r="52" spans="16:29">
      <c r="R52" s="71" t="e">
        <f>IF(D3="","","全拘束時間   "&amp;TEXT($X$44,"h:mm"))</f>
        <v>#VALUE!</v>
      </c>
      <c r="S52" s="143"/>
      <c r="W52" s="132" t="s">
        <v>217</v>
      </c>
      <c r="X52" s="133" t="e">
        <f>IF(Y50&lt;=Y44,"",IF(X50&gt;X44,X50-X44,""))</f>
        <v>#VALUE!</v>
      </c>
      <c r="Z52" s="190" t="s">
        <v>218</v>
      </c>
      <c r="AA52" s="190"/>
      <c r="AB52" s="133" t="str">
        <f>IF(AB44=0,"",IF(X52="","",AB44-X52))</f>
        <v/>
      </c>
    </row>
    <row r="53" spans="16:29">
      <c r="R53" s="71" t="str">
        <f>IF(B3="","","全実働時間   "&amp;TEXT($Y$44,"h:mm"))</f>
        <v/>
      </c>
      <c r="S53" s="143"/>
    </row>
    <row r="54" spans="16:29">
      <c r="Z54" s="190" t="s">
        <v>219</v>
      </c>
      <c r="AA54" s="190"/>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2026-01-30T05:24:36Z</dcterms:modified>
</cp:coreProperties>
</file>