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C:\ことでんバス\"/>
    </mc:Choice>
  </mc:AlternateContent>
  <xr:revisionPtr revIDLastSave="0" documentId="8_{F895549E-0DF0-42F8-A0CB-98981866FDEF}" xr6:coauthVersionLast="47" xr6:coauthVersionMax="47" xr10:uidLastSave="{00000000-0000-0000-0000-000000000000}"/>
  <workbookProtection workbookAlgorithmName="SHA-512" workbookHashValue="h/M1FznfFVH9BoquIcM3k7UuQYgFjzTf2Ed82Lte0XxJjQUWItTZ+R3rdHi0uU/Chjyx3pIndU5LMpg/pKFpjQ==" workbookSaltValue="/1rqIlzxZbwi2lsTn44eBg==" workbookSpinCount="100000" lockStructure="1"/>
  <bookViews>
    <workbookView xWindow="-110" yWindow="-110" windowWidth="19420" windowHeight="10300" tabRatio="604" xr2:uid="{00000000-000D-0000-FFFF-FFFF00000000}"/>
  </bookViews>
  <sheets>
    <sheet name="印刷プレビュー" sheetId="11" r:id="rId1"/>
    <sheet name="データシート" sheetId="14" state="hidden" r:id="rId2"/>
    <sheet name="データシート２" sheetId="15" state="hidden" r:id="rId3"/>
    <sheet name="時間選択" sheetId="16" state="hidden" r:id="rId4"/>
  </sheets>
  <definedNames>
    <definedName name="_xlnm._FilterDatabase" localSheetId="1" hidden="1">データシート!$D$71:$R$95</definedName>
    <definedName name="_xlnm.Print_Area" localSheetId="0">印刷プレビュー!$B$1:$U$50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7" i="11" l="1"/>
  <c r="G24" i="11"/>
  <c r="G21" i="11"/>
  <c r="Q450" i="14"/>
  <c r="Q451" i="14"/>
  <c r="Q452" i="14"/>
  <c r="Q453" i="14"/>
  <c r="Q454" i="14"/>
  <c r="Q455" i="14"/>
  <c r="Q456" i="14"/>
  <c r="Q457" i="14"/>
  <c r="Q458" i="14"/>
  <c r="Q459" i="14"/>
  <c r="Q441" i="14" l="1"/>
  <c r="Q442" i="14"/>
  <c r="Q443" i="14"/>
  <c r="Q444" i="14"/>
  <c r="Q445" i="14"/>
  <c r="Q446" i="14"/>
  <c r="Q447" i="14"/>
  <c r="Q448" i="14"/>
  <c r="Q449" i="14"/>
  <c r="D464" i="14"/>
  <c r="I464" i="14" s="1"/>
  <c r="E464" i="14"/>
  <c r="N464" i="14"/>
  <c r="O464" i="14" s="1"/>
  <c r="D465" i="14"/>
  <c r="I465" i="14" s="1"/>
  <c r="E465" i="14"/>
  <c r="N465" i="14"/>
  <c r="D466" i="14"/>
  <c r="I466" i="14" s="1"/>
  <c r="E466" i="14"/>
  <c r="N466" i="14"/>
  <c r="O466" i="14"/>
  <c r="D467" i="14"/>
  <c r="I467" i="14" s="1"/>
  <c r="E467" i="14"/>
  <c r="N467" i="14"/>
  <c r="O467" i="14"/>
  <c r="D468" i="14"/>
  <c r="I468" i="14" s="1"/>
  <c r="E468" i="14"/>
  <c r="N468" i="14"/>
  <c r="O468" i="14" s="1"/>
  <c r="D469" i="14"/>
  <c r="I469" i="14" s="1"/>
  <c r="E469" i="14"/>
  <c r="F469" i="14"/>
  <c r="G469" i="14"/>
  <c r="K469" i="14"/>
  <c r="O469" i="14"/>
  <c r="K466" i="14" l="1"/>
  <c r="F466" i="14"/>
  <c r="Q466" i="14" s="1"/>
  <c r="G466" i="14"/>
  <c r="O465" i="14"/>
  <c r="F465" i="14"/>
  <c r="Q465" i="14" s="1"/>
  <c r="K465" i="14"/>
  <c r="G465" i="14"/>
  <c r="K467" i="14"/>
  <c r="F467" i="14"/>
  <c r="Q467" i="14" s="1"/>
  <c r="G467" i="14"/>
  <c r="G468" i="14"/>
  <c r="F468" i="14"/>
  <c r="Q468" i="14" s="1"/>
  <c r="Q469" i="14"/>
  <c r="K464" i="14"/>
  <c r="G464" i="14"/>
  <c r="F464" i="14"/>
  <c r="Q464" i="14" s="1"/>
  <c r="K468" i="14"/>
  <c r="X7" i="11" l="1"/>
  <c r="M470" i="14" l="1"/>
  <c r="AB470" i="14" s="1"/>
  <c r="M471" i="14"/>
  <c r="AB471" i="14" s="1"/>
  <c r="AA471" i="14" l="1"/>
  <c r="AA470" i="14"/>
  <c r="P471" i="14"/>
  <c r="Y471" i="14"/>
  <c r="Y470" i="14"/>
  <c r="P470" i="14"/>
  <c r="D61" i="14"/>
  <c r="M387" i="14" l="1"/>
  <c r="E387" i="14" s="1"/>
  <c r="M386" i="14"/>
  <c r="E386" i="14" s="1"/>
  <c r="E471" i="14"/>
  <c r="D470" i="14"/>
  <c r="I470" i="14" s="1"/>
  <c r="E470" i="14"/>
  <c r="N387" i="14" l="1"/>
  <c r="K387" i="14" s="1"/>
  <c r="N386" i="14"/>
  <c r="D386" i="14"/>
  <c r="I386" i="14" s="1"/>
  <c r="D387" i="14"/>
  <c r="I387" i="14" s="1"/>
  <c r="N470" i="14"/>
  <c r="D471" i="14"/>
  <c r="I471" i="14" s="1"/>
  <c r="F387" i="14" l="1"/>
  <c r="G387" i="14"/>
  <c r="G386" i="14"/>
  <c r="K386" i="14"/>
  <c r="F386" i="14"/>
  <c r="G470" i="14"/>
  <c r="F470" i="14"/>
  <c r="Q470" i="14" s="1"/>
  <c r="O470" i="14"/>
  <c r="O9" i="11" l="1"/>
  <c r="V386" i="14"/>
  <c r="B4" i="16"/>
  <c r="B5" i="16" s="1"/>
  <c r="B6" i="16" s="1"/>
  <c r="B7" i="16" s="1"/>
  <c r="B8" i="16" s="1"/>
  <c r="B10" i="16" s="1"/>
  <c r="B11" i="16" s="1"/>
  <c r="B12" i="16" s="1"/>
  <c r="B13" i="16" s="1"/>
  <c r="B14" i="16" s="1"/>
  <c r="B15" i="16" s="1"/>
  <c r="B16" i="16" s="1"/>
  <c r="B17" i="16" s="1"/>
  <c r="B18" i="16" s="1"/>
  <c r="B19" i="16" s="1"/>
  <c r="B20" i="16" s="1"/>
  <c r="B21" i="16" s="1"/>
  <c r="B23" i="16" s="1"/>
  <c r="B24" i="16" s="1"/>
  <c r="B25" i="16" s="1"/>
  <c r="B26" i="16" s="1"/>
  <c r="B27" i="16" s="1"/>
  <c r="B28" i="16" s="1"/>
  <c r="B29" i="16" s="1"/>
  <c r="B30" i="16" s="1"/>
  <c r="B31" i="16" s="1"/>
  <c r="B32" i="16" s="1"/>
  <c r="B33" i="16" s="1"/>
  <c r="B34" i="16" s="1"/>
  <c r="B36" i="16" s="1"/>
  <c r="B37" i="16" s="1"/>
  <c r="B38" i="16" s="1"/>
  <c r="B39" i="16" s="1"/>
  <c r="B40" i="16" s="1"/>
  <c r="B41" i="16" s="1"/>
  <c r="B42" i="16" s="1"/>
  <c r="B43" i="16" s="1"/>
  <c r="B44" i="16" s="1"/>
  <c r="B45" i="16" s="1"/>
  <c r="B46" i="16" s="1"/>
  <c r="B47" i="16" s="1"/>
  <c r="B49" i="16" s="1"/>
  <c r="B50" i="16" s="1"/>
  <c r="B51" i="16" s="1"/>
  <c r="B52" i="16" s="1"/>
  <c r="B53" i="16" s="1"/>
  <c r="B54" i="16" s="1"/>
  <c r="B55" i="16" s="1"/>
  <c r="B56" i="16" s="1"/>
  <c r="B57" i="16" s="1"/>
  <c r="B58" i="16" s="1"/>
  <c r="B59" i="16" s="1"/>
  <c r="B60" i="16" s="1"/>
  <c r="B62" i="16" s="1"/>
  <c r="B63" i="16" s="1"/>
  <c r="B64" i="16" s="1"/>
  <c r="B65" i="16" s="1"/>
  <c r="B66" i="16" s="1"/>
  <c r="B67" i="16" s="1"/>
  <c r="B68" i="16" s="1"/>
  <c r="B69" i="16" s="1"/>
  <c r="B70" i="16" s="1"/>
  <c r="B71" i="16" s="1"/>
  <c r="B72" i="16" s="1"/>
  <c r="B73" i="16" s="1"/>
  <c r="B75" i="16" s="1"/>
  <c r="B76" i="16" s="1"/>
  <c r="B77" i="16" s="1"/>
  <c r="B78" i="16" s="1"/>
  <c r="B79" i="16" s="1"/>
  <c r="B80" i="16" s="1"/>
  <c r="B81" i="16" s="1"/>
  <c r="B82" i="16" s="1"/>
  <c r="B83" i="16" s="1"/>
  <c r="B84" i="16" s="1"/>
  <c r="B85" i="16" s="1"/>
  <c r="B86" i="16" s="1"/>
  <c r="B88" i="16" s="1"/>
  <c r="B89" i="16" s="1"/>
  <c r="B90" i="16" s="1"/>
  <c r="B91" i="16" s="1"/>
  <c r="B92" i="16" s="1"/>
  <c r="B93" i="16" s="1"/>
  <c r="B94" i="16" s="1"/>
  <c r="B95" i="16" s="1"/>
  <c r="B96" i="16" s="1"/>
  <c r="B97" i="16" s="1"/>
  <c r="B98" i="16" s="1"/>
  <c r="B99" i="16" s="1"/>
  <c r="B101" i="16" s="1"/>
  <c r="B102" i="16" s="1"/>
  <c r="B103" i="16" s="1"/>
  <c r="B104" i="16" s="1"/>
  <c r="B105" i="16" s="1"/>
  <c r="B106" i="16" s="1"/>
  <c r="B107" i="16" s="1"/>
  <c r="B108" i="16" s="1"/>
  <c r="B109" i="16" s="1"/>
  <c r="B110" i="16" s="1"/>
  <c r="B111" i="16" s="1"/>
  <c r="B112" i="16" s="1"/>
  <c r="B114" i="16" s="1"/>
  <c r="B115" i="16" s="1"/>
  <c r="B116" i="16" s="1"/>
  <c r="B117" i="16" s="1"/>
  <c r="B118" i="16" s="1"/>
  <c r="B119" i="16" s="1"/>
  <c r="B120" i="16" s="1"/>
  <c r="B121" i="16" s="1"/>
  <c r="B122" i="16" s="1"/>
  <c r="B123" i="16" s="1"/>
  <c r="B124" i="16" s="1"/>
  <c r="B125" i="16" s="1"/>
  <c r="B127" i="16" s="1"/>
  <c r="B128" i="16" s="1"/>
  <c r="B129" i="16" s="1"/>
  <c r="B130" i="16" s="1"/>
  <c r="B131" i="16" s="1"/>
  <c r="B132" i="16" s="1"/>
  <c r="B133" i="16" s="1"/>
  <c r="B134" i="16" s="1"/>
  <c r="B135" i="16" s="1"/>
  <c r="B136" i="16" s="1"/>
  <c r="B137" i="16" s="1"/>
  <c r="B138" i="16" s="1"/>
  <c r="B139" i="16" s="1"/>
  <c r="AA38" i="11"/>
  <c r="AA28" i="11"/>
  <c r="AA19" i="11"/>
  <c r="H16" i="15"/>
  <c r="H21" i="15" s="1"/>
  <c r="H26" i="15"/>
  <c r="H31" i="15" s="1"/>
  <c r="B9" i="15"/>
  <c r="W9" i="15"/>
  <c r="V9" i="15"/>
  <c r="U9" i="15"/>
  <c r="T9" i="15"/>
  <c r="S9" i="15"/>
  <c r="Q9" i="15"/>
  <c r="P9" i="15"/>
  <c r="R9" i="15" s="1"/>
  <c r="O9" i="15"/>
  <c r="N9" i="15"/>
  <c r="M9" i="15"/>
  <c r="L9" i="15"/>
  <c r="K9" i="15"/>
  <c r="J9" i="15"/>
  <c r="I9" i="15"/>
  <c r="H9" i="15"/>
  <c r="G9" i="15"/>
  <c r="F9" i="15"/>
  <c r="E9" i="15"/>
  <c r="D9" i="15"/>
  <c r="AA16" i="11"/>
  <c r="M66" i="14"/>
  <c r="AA45" i="11"/>
  <c r="AA37" i="11"/>
  <c r="AA27" i="11"/>
  <c r="AB46" i="11"/>
  <c r="AA46" i="11"/>
  <c r="AB38" i="11"/>
  <c r="AB18" i="11"/>
  <c r="AB28" i="11"/>
  <c r="D23" i="15"/>
  <c r="D67" i="14"/>
  <c r="D65" i="14"/>
  <c r="B6" i="15"/>
  <c r="AF40" i="11"/>
  <c r="AF39" i="11"/>
  <c r="AF38" i="11"/>
  <c r="AF37" i="11"/>
  <c r="AF28" i="11"/>
  <c r="AF25" i="11"/>
  <c r="AF27" i="11"/>
  <c r="AF29" i="11"/>
  <c r="AF31" i="11"/>
  <c r="W27" i="15"/>
  <c r="W28" i="15"/>
  <c r="W29" i="15"/>
  <c r="W17" i="15"/>
  <c r="W18" i="15"/>
  <c r="W19" i="15"/>
  <c r="W26" i="15"/>
  <c r="V31" i="15" s="1"/>
  <c r="W36" i="15"/>
  <c r="V41" i="15" s="1"/>
  <c r="D66" i="14"/>
  <c r="D64" i="14"/>
  <c r="D22" i="15"/>
  <c r="W16" i="15"/>
  <c r="M16" i="15" s="1"/>
  <c r="M21" i="15" s="1"/>
  <c r="AE28" i="11" s="1"/>
  <c r="D63" i="14"/>
  <c r="AF52" i="11"/>
  <c r="AF51" i="11"/>
  <c r="AF47" i="11"/>
  <c r="AF46" i="11"/>
  <c r="AF45" i="11"/>
  <c r="AF44" i="11"/>
  <c r="AF43" i="11"/>
  <c r="AF36" i="11"/>
  <c r="AF35" i="11"/>
  <c r="AF23" i="11"/>
  <c r="AF18" i="11"/>
  <c r="AF16" i="11"/>
  <c r="AF15" i="11"/>
  <c r="AF14" i="11"/>
  <c r="AF13" i="11"/>
  <c r="D62" i="14"/>
  <c r="W37" i="15"/>
  <c r="W38" i="15"/>
  <c r="W39" i="15"/>
  <c r="W7" i="15"/>
  <c r="W8" i="15"/>
  <c r="V39" i="15"/>
  <c r="U39" i="15"/>
  <c r="T39" i="15"/>
  <c r="S39" i="15"/>
  <c r="Q39" i="15"/>
  <c r="P39" i="15"/>
  <c r="R39" i="15" s="1"/>
  <c r="O39" i="15"/>
  <c r="N39" i="15"/>
  <c r="M39" i="15"/>
  <c r="L39" i="15"/>
  <c r="K39" i="15"/>
  <c r="J39" i="15"/>
  <c r="I39" i="15"/>
  <c r="H39" i="15"/>
  <c r="G39" i="15"/>
  <c r="F39" i="15"/>
  <c r="E39" i="15"/>
  <c r="D39" i="15"/>
  <c r="B39" i="15"/>
  <c r="V38" i="15"/>
  <c r="U38" i="15"/>
  <c r="T38" i="15"/>
  <c r="S38" i="15"/>
  <c r="Q38" i="15"/>
  <c r="P38" i="15"/>
  <c r="R38" i="15" s="1"/>
  <c r="O38" i="15"/>
  <c r="N38" i="15"/>
  <c r="M38" i="15"/>
  <c r="L38" i="15"/>
  <c r="K38" i="15"/>
  <c r="J38" i="15"/>
  <c r="I38" i="15"/>
  <c r="H38" i="15"/>
  <c r="G38" i="15"/>
  <c r="F38" i="15"/>
  <c r="E38" i="15"/>
  <c r="D38" i="15"/>
  <c r="B38" i="15"/>
  <c r="V37" i="15"/>
  <c r="U37" i="15"/>
  <c r="T37" i="15"/>
  <c r="S37" i="15"/>
  <c r="Q37" i="15"/>
  <c r="P37" i="15"/>
  <c r="R37" i="15" s="1"/>
  <c r="O37" i="15"/>
  <c r="N37" i="15"/>
  <c r="M37" i="15"/>
  <c r="L37" i="15"/>
  <c r="K37" i="15"/>
  <c r="J37" i="15"/>
  <c r="I37" i="15"/>
  <c r="H37" i="15"/>
  <c r="G37" i="15"/>
  <c r="F37" i="15"/>
  <c r="E37" i="15"/>
  <c r="D37" i="15"/>
  <c r="B37" i="15"/>
  <c r="V36" i="15"/>
  <c r="U36" i="15"/>
  <c r="T36" i="15"/>
  <c r="I41" i="15" s="1"/>
  <c r="AE43" i="11" s="1"/>
  <c r="S36" i="15"/>
  <c r="Q36" i="15"/>
  <c r="Q41" i="15" s="1"/>
  <c r="P36" i="15"/>
  <c r="R36" i="15" s="1"/>
  <c r="R41" i="15" s="1"/>
  <c r="O36" i="15"/>
  <c r="O41" i="15" s="1"/>
  <c r="AE47" i="11" s="1"/>
  <c r="N36" i="15"/>
  <c r="N41" i="15" s="1"/>
  <c r="AE46" i="11" s="1"/>
  <c r="M36" i="15"/>
  <c r="M41" i="15" s="1"/>
  <c r="AE45" i="11" s="1"/>
  <c r="L36" i="15"/>
  <c r="K36" i="15"/>
  <c r="K41" i="15" s="1"/>
  <c r="AE44" i="11" s="1"/>
  <c r="J36" i="15"/>
  <c r="I36" i="15"/>
  <c r="H36" i="15"/>
  <c r="H41" i="15" s="1"/>
  <c r="G36" i="15"/>
  <c r="F36" i="15"/>
  <c r="F41" i="15" s="1"/>
  <c r="E36" i="15"/>
  <c r="D36" i="15"/>
  <c r="D41" i="15" s="1"/>
  <c r="B36" i="15"/>
  <c r="D27" i="15"/>
  <c r="E27" i="15"/>
  <c r="F27" i="15"/>
  <c r="G27" i="15"/>
  <c r="H27" i="15"/>
  <c r="I27" i="15"/>
  <c r="J27" i="15"/>
  <c r="K27" i="15"/>
  <c r="L27" i="15"/>
  <c r="M27" i="15"/>
  <c r="N27" i="15"/>
  <c r="O27" i="15"/>
  <c r="P27" i="15"/>
  <c r="R27" i="15" s="1"/>
  <c r="Q27" i="15"/>
  <c r="S27" i="15"/>
  <c r="T27" i="15"/>
  <c r="U27" i="15"/>
  <c r="V27" i="15"/>
  <c r="D28" i="15"/>
  <c r="E28" i="15"/>
  <c r="F28" i="15"/>
  <c r="G28" i="15"/>
  <c r="H28" i="15"/>
  <c r="I28" i="15"/>
  <c r="J28" i="15"/>
  <c r="K28" i="15"/>
  <c r="L28" i="15"/>
  <c r="M28" i="15"/>
  <c r="N28" i="15"/>
  <c r="O28" i="15"/>
  <c r="P28" i="15"/>
  <c r="R28" i="15" s="1"/>
  <c r="Q28" i="15"/>
  <c r="S28" i="15"/>
  <c r="T28" i="15"/>
  <c r="U28" i="15"/>
  <c r="V28" i="15"/>
  <c r="D29" i="15"/>
  <c r="E29" i="15"/>
  <c r="F29" i="15"/>
  <c r="G29" i="15"/>
  <c r="H29" i="15"/>
  <c r="I29" i="15"/>
  <c r="J29" i="15"/>
  <c r="K29" i="15"/>
  <c r="L29" i="15"/>
  <c r="M29" i="15"/>
  <c r="N29" i="15"/>
  <c r="O29" i="15"/>
  <c r="P29" i="15"/>
  <c r="R29" i="15" s="1"/>
  <c r="Q29" i="15"/>
  <c r="S29" i="15"/>
  <c r="T29" i="15"/>
  <c r="U29" i="15"/>
  <c r="V29" i="15"/>
  <c r="F17" i="15"/>
  <c r="G17" i="15"/>
  <c r="H17" i="15"/>
  <c r="I17" i="15"/>
  <c r="J17" i="15"/>
  <c r="K17" i="15"/>
  <c r="L17" i="15"/>
  <c r="M17" i="15"/>
  <c r="N17" i="15"/>
  <c r="O17" i="15"/>
  <c r="P17" i="15"/>
  <c r="R17" i="15" s="1"/>
  <c r="Q17" i="15"/>
  <c r="S17" i="15"/>
  <c r="T17" i="15"/>
  <c r="U17" i="15"/>
  <c r="V17" i="15"/>
  <c r="D18" i="15"/>
  <c r="E18" i="15"/>
  <c r="F18" i="15"/>
  <c r="G18" i="15"/>
  <c r="H18" i="15"/>
  <c r="I18" i="15"/>
  <c r="J18" i="15"/>
  <c r="K18" i="15"/>
  <c r="L18" i="15"/>
  <c r="M18" i="15"/>
  <c r="N18" i="15"/>
  <c r="O18" i="15"/>
  <c r="P18" i="15"/>
  <c r="R18" i="15" s="1"/>
  <c r="Q18" i="15"/>
  <c r="S18" i="15"/>
  <c r="T18" i="15"/>
  <c r="U18" i="15"/>
  <c r="V18" i="15"/>
  <c r="D19" i="15"/>
  <c r="E19" i="15"/>
  <c r="F19" i="15"/>
  <c r="G19" i="15"/>
  <c r="H19" i="15"/>
  <c r="I19" i="15"/>
  <c r="J19" i="15"/>
  <c r="K19" i="15"/>
  <c r="L19" i="15"/>
  <c r="M19" i="15"/>
  <c r="N19" i="15"/>
  <c r="O19" i="15"/>
  <c r="P19" i="15"/>
  <c r="R19" i="15" s="1"/>
  <c r="Q19" i="15"/>
  <c r="S19" i="15"/>
  <c r="T19" i="15"/>
  <c r="U19" i="15"/>
  <c r="V19" i="15"/>
  <c r="B27" i="15"/>
  <c r="B28" i="15"/>
  <c r="B29" i="15"/>
  <c r="B17" i="15"/>
  <c r="B18" i="15"/>
  <c r="B19" i="15"/>
  <c r="D8" i="15"/>
  <c r="D10" i="15"/>
  <c r="D12" i="15"/>
  <c r="D13" i="15"/>
  <c r="D14" i="15"/>
  <c r="D20" i="15"/>
  <c r="D24" i="15"/>
  <c r="D32" i="15"/>
  <c r="D33" i="15"/>
  <c r="D34" i="15"/>
  <c r="D40" i="15"/>
  <c r="V16" i="15"/>
  <c r="U16" i="15"/>
  <c r="T16" i="15"/>
  <c r="I21" i="15" s="1"/>
  <c r="S16" i="15"/>
  <c r="L16" i="15"/>
  <c r="B16" i="15"/>
  <c r="K24" i="11" s="1"/>
  <c r="B26" i="15"/>
  <c r="L7" i="15"/>
  <c r="AF11" i="11"/>
  <c r="AF10" i="11"/>
  <c r="AF9" i="11"/>
  <c r="AF8" i="11"/>
  <c r="AF7" i="11"/>
  <c r="V26" i="15"/>
  <c r="U26" i="15"/>
  <c r="T26" i="15"/>
  <c r="I31" i="15" s="1"/>
  <c r="AE35" i="11" s="1"/>
  <c r="S26" i="15"/>
  <c r="N26" i="15"/>
  <c r="N31" i="15" s="1"/>
  <c r="AE39" i="11" s="1"/>
  <c r="L26" i="15"/>
  <c r="K26" i="15"/>
  <c r="K31" i="15" s="1"/>
  <c r="AE36" i="11" s="1"/>
  <c r="J26" i="15"/>
  <c r="G26" i="15"/>
  <c r="F26" i="15"/>
  <c r="F31" i="15" s="1"/>
  <c r="B7" i="15"/>
  <c r="B8" i="15"/>
  <c r="F7" i="15"/>
  <c r="G7" i="15"/>
  <c r="H7" i="15"/>
  <c r="I7" i="15"/>
  <c r="J7" i="15"/>
  <c r="K7" i="15"/>
  <c r="M7" i="15"/>
  <c r="N7" i="15"/>
  <c r="P7" i="15"/>
  <c r="R7" i="15" s="1"/>
  <c r="S7" i="15"/>
  <c r="T7" i="15"/>
  <c r="U7" i="15"/>
  <c r="V7" i="15"/>
  <c r="E8" i="15"/>
  <c r="F8" i="15"/>
  <c r="G8" i="15"/>
  <c r="H8" i="15"/>
  <c r="I8" i="15"/>
  <c r="J8" i="15"/>
  <c r="K8" i="15"/>
  <c r="L8" i="15"/>
  <c r="M8" i="15"/>
  <c r="N8" i="15"/>
  <c r="O8" i="15"/>
  <c r="P8" i="15"/>
  <c r="R8" i="15" s="1"/>
  <c r="Q8" i="15"/>
  <c r="S8" i="15"/>
  <c r="T8" i="15"/>
  <c r="U8" i="15"/>
  <c r="V8" i="15"/>
  <c r="H9" i="11"/>
  <c r="D24" i="11"/>
  <c r="D27" i="11"/>
  <c r="K27" i="11"/>
  <c r="P28" i="11"/>
  <c r="N28" i="11"/>
  <c r="N16" i="15"/>
  <c r="N21" i="15" s="1"/>
  <c r="AE29" i="11" s="1"/>
  <c r="G16" i="15"/>
  <c r="F16" i="15"/>
  <c r="F21" i="15" s="1"/>
  <c r="N25" i="11"/>
  <c r="K16" i="15"/>
  <c r="K21" i="15" s="1"/>
  <c r="AE27" i="11" s="1"/>
  <c r="P16" i="15"/>
  <c r="R16" i="15" s="1"/>
  <c r="R21" i="15" s="1"/>
  <c r="J16" i="15"/>
  <c r="E7" i="15"/>
  <c r="D17" i="15"/>
  <c r="E17" i="15"/>
  <c r="U24" i="11"/>
  <c r="P26" i="15"/>
  <c r="U27" i="11"/>
  <c r="O26" i="15"/>
  <c r="O31" i="15" s="1"/>
  <c r="AE40" i="11" s="1"/>
  <c r="Q26" i="15"/>
  <c r="Q31" i="15" s="1"/>
  <c r="D7" i="15"/>
  <c r="Q7" i="15"/>
  <c r="Q16" i="15"/>
  <c r="Q21" i="15" s="1"/>
  <c r="O7" i="15"/>
  <c r="O16" i="15"/>
  <c r="O21" i="15" s="1"/>
  <c r="AE31" i="11" s="1"/>
  <c r="Q27" i="11"/>
  <c r="Q24" i="11"/>
  <c r="N27" i="11"/>
  <c r="P27" i="11"/>
  <c r="S27" i="11"/>
  <c r="S24" i="11"/>
  <c r="E31" i="11"/>
  <c r="P25" i="11"/>
  <c r="P24" i="11"/>
  <c r="N24" i="11"/>
  <c r="E41" i="11"/>
  <c r="E42" i="11" s="1"/>
  <c r="E43" i="11" s="1"/>
  <c r="E44" i="11" s="1"/>
  <c r="AC28" i="11" l="1"/>
  <c r="S36" i="14"/>
  <c r="T36" i="14"/>
  <c r="A1" i="14"/>
  <c r="A2" i="14" s="1"/>
  <c r="A3" i="14" s="1"/>
  <c r="AC29" i="11"/>
  <c r="W21" i="15"/>
  <c r="AC27" i="11"/>
  <c r="D16" i="15"/>
  <c r="D21" i="15" s="1"/>
  <c r="I16" i="15"/>
  <c r="K470" i="14"/>
  <c r="Y21" i="15"/>
  <c r="AB21" i="15"/>
  <c r="AC40" i="11"/>
  <c r="AC31" i="11"/>
  <c r="AC45" i="11"/>
  <c r="AA41" i="15"/>
  <c r="AC47" i="11"/>
  <c r="AC44" i="11"/>
  <c r="AC43" i="11"/>
  <c r="AC36" i="11"/>
  <c r="AC39" i="11"/>
  <c r="AC46" i="11"/>
  <c r="AC35" i="11"/>
  <c r="Y41" i="15"/>
  <c r="W41" i="15"/>
  <c r="W44" i="15" s="1"/>
  <c r="X41" i="15"/>
  <c r="X21" i="15"/>
  <c r="AB31" i="15"/>
  <c r="AA31" i="15"/>
  <c r="Y31" i="15"/>
  <c r="M26" i="15"/>
  <c r="M31" i="15" s="1"/>
  <c r="AE38" i="11" s="1"/>
  <c r="AC38" i="11" s="1"/>
  <c r="Z31" i="15"/>
  <c r="E26" i="15"/>
  <c r="D26" i="15"/>
  <c r="D31" i="15" s="1"/>
  <c r="I26" i="15"/>
  <c r="U31" i="15"/>
  <c r="W31" i="15"/>
  <c r="AB41" i="15"/>
  <c r="Z41" i="15"/>
  <c r="X31" i="15"/>
  <c r="U41" i="15"/>
  <c r="E16" i="15"/>
  <c r="U21" i="15"/>
  <c r="L41" i="15"/>
  <c r="L44" i="15" s="1"/>
  <c r="A11" i="14"/>
  <c r="A12" i="14" s="1"/>
  <c r="AA21" i="15"/>
  <c r="P41" i="15"/>
  <c r="Z21" i="15"/>
  <c r="V21" i="15"/>
  <c r="J31" i="15"/>
  <c r="L21" i="15"/>
  <c r="J41" i="15"/>
  <c r="P21" i="15"/>
  <c r="P31" i="15"/>
  <c r="R26" i="15"/>
  <c r="R31" i="15" s="1"/>
  <c r="J21" i="15"/>
  <c r="L31" i="15"/>
  <c r="AE25" i="11"/>
  <c r="AC25" i="11" s="1"/>
  <c r="AE23" i="11"/>
  <c r="AC23" i="11" s="1"/>
  <c r="AE37" i="11"/>
  <c r="AC37" i="11" s="1"/>
  <c r="U387" i="14"/>
  <c r="F7" i="11" l="1"/>
  <c r="H7" i="11"/>
  <c r="B7" i="11"/>
  <c r="A18" i="14"/>
  <c r="A20" i="14" s="1"/>
  <c r="A21" i="14" s="1"/>
  <c r="X8" i="11" s="1"/>
  <c r="G18" i="11" s="1"/>
  <c r="A5" i="14"/>
  <c r="A7" i="14" s="1"/>
  <c r="Y6" i="11"/>
  <c r="A4" i="14"/>
  <c r="U386" i="14"/>
  <c r="A13" i="14"/>
  <c r="V387" i="14"/>
  <c r="L122" i="14" l="1"/>
  <c r="L95" i="14"/>
  <c r="L399" i="14"/>
  <c r="L285" i="14"/>
  <c r="L107" i="14"/>
  <c r="Q419" i="14"/>
  <c r="I460" i="14"/>
  <c r="M460" i="14"/>
  <c r="O460" i="14"/>
  <c r="D460" i="14"/>
  <c r="E460" i="14"/>
  <c r="Q460" i="14"/>
  <c r="P460" i="14"/>
  <c r="Q410" i="14"/>
  <c r="Q413" i="14"/>
  <c r="H410" i="14"/>
  <c r="P419" i="14"/>
  <c r="Q439" i="14"/>
  <c r="K439" i="14"/>
  <c r="N439" i="14"/>
  <c r="O410" i="14"/>
  <c r="F439" i="14"/>
  <c r="G439" i="14"/>
  <c r="P413" i="14"/>
  <c r="P439" i="14"/>
  <c r="P410" i="14"/>
  <c r="O419" i="14"/>
  <c r="O413" i="14"/>
  <c r="O439" i="14"/>
  <c r="L306" i="14"/>
  <c r="L307" i="14"/>
  <c r="R122" i="14"/>
  <c r="R321" i="14"/>
  <c r="I397" i="14"/>
  <c r="Q397" i="14"/>
  <c r="D397" i="14"/>
  <c r="E397" i="14"/>
  <c r="P335" i="14"/>
  <c r="Q335" i="14"/>
  <c r="L335" i="14"/>
  <c r="O335" i="14"/>
  <c r="P320" i="14"/>
  <c r="Q320" i="14"/>
  <c r="O320" i="14"/>
  <c r="O308" i="14"/>
  <c r="Q308" i="14"/>
  <c r="P308" i="14"/>
  <c r="N308" i="14"/>
  <c r="K308" i="14"/>
  <c r="G308" i="14"/>
  <c r="F308" i="14"/>
  <c r="K309" i="14"/>
  <c r="P309" i="14"/>
  <c r="O309" i="14"/>
  <c r="G309" i="14"/>
  <c r="F309" i="14"/>
  <c r="Q309" i="14"/>
  <c r="N309" i="14"/>
  <c r="B276" i="14"/>
  <c r="B277" i="14"/>
  <c r="Q279" i="14"/>
  <c r="O279" i="14"/>
  <c r="P279" i="14"/>
  <c r="P280" i="14"/>
  <c r="Q280" i="14"/>
  <c r="Q277" i="14"/>
  <c r="O280" i="14"/>
  <c r="O277" i="14"/>
  <c r="P277" i="14"/>
  <c r="K277" i="14"/>
  <c r="N277" i="14"/>
  <c r="F277" i="14"/>
  <c r="G277" i="14"/>
  <c r="Q276" i="14"/>
  <c r="O276" i="14"/>
  <c r="P276" i="14"/>
  <c r="K276" i="14"/>
  <c r="N276" i="14"/>
  <c r="F276" i="14"/>
  <c r="G276" i="14"/>
  <c r="O260" i="14"/>
  <c r="P260" i="14"/>
  <c r="Q260" i="14"/>
  <c r="M260" i="14"/>
  <c r="E260" i="14"/>
  <c r="I260" i="14"/>
  <c r="Q256" i="14"/>
  <c r="D260" i="14"/>
  <c r="O256" i="14"/>
  <c r="P256" i="14"/>
  <c r="P141" i="14"/>
  <c r="Q141" i="14"/>
  <c r="O141" i="14"/>
  <c r="F115" i="14"/>
  <c r="G115" i="14"/>
  <c r="I404" i="14"/>
  <c r="L404" i="14"/>
  <c r="G404" i="14"/>
  <c r="F404" i="14"/>
  <c r="I405" i="14"/>
  <c r="P404" i="14"/>
  <c r="Q404" i="14"/>
  <c r="N404" i="14"/>
  <c r="O404" i="14"/>
  <c r="M404" i="14"/>
  <c r="K404" i="14"/>
  <c r="E404" i="14"/>
  <c r="Q402" i="14"/>
  <c r="D404" i="14"/>
  <c r="O402" i="14"/>
  <c r="P402" i="14"/>
  <c r="M402" i="14"/>
  <c r="N402" i="14"/>
  <c r="L402" i="14"/>
  <c r="I402" i="14"/>
  <c r="K402" i="14"/>
  <c r="D402" i="14"/>
  <c r="E402" i="14"/>
  <c r="G402" i="14"/>
  <c r="F402" i="14"/>
  <c r="Q314" i="14"/>
  <c r="O314" i="14"/>
  <c r="P314" i="14"/>
  <c r="I314" i="14"/>
  <c r="M314" i="14"/>
  <c r="D314" i="14"/>
  <c r="E314" i="14"/>
  <c r="P285" i="14"/>
  <c r="Q285" i="14"/>
  <c r="M285" i="14"/>
  <c r="O285" i="14"/>
  <c r="E285" i="14"/>
  <c r="I285" i="14"/>
  <c r="D285" i="14"/>
  <c r="Q227" i="14"/>
  <c r="Q122" i="14"/>
  <c r="Q173" i="14"/>
  <c r="O122" i="14"/>
  <c r="S18" i="11" s="1"/>
  <c r="P122" i="14"/>
  <c r="M122" i="14"/>
  <c r="N122" i="14"/>
  <c r="I122" i="14"/>
  <c r="K122" i="14"/>
  <c r="F122" i="14"/>
  <c r="G122" i="14"/>
  <c r="D122" i="14"/>
  <c r="E122" i="14"/>
  <c r="P115" i="14"/>
  <c r="Q115" i="14"/>
  <c r="N115" i="14"/>
  <c r="O115" i="14"/>
  <c r="L115" i="14"/>
  <c r="M115" i="14"/>
  <c r="I115" i="14"/>
  <c r="K115" i="14"/>
  <c r="E115" i="14"/>
  <c r="D115" i="14"/>
  <c r="Q107" i="14"/>
  <c r="O107" i="14"/>
  <c r="P107" i="14"/>
  <c r="M107" i="14"/>
  <c r="N107" i="14"/>
  <c r="K107" i="14"/>
  <c r="G107" i="14"/>
  <c r="I107" i="14"/>
  <c r="E107" i="14"/>
  <c r="F107" i="14"/>
  <c r="O106" i="14"/>
  <c r="D107" i="14"/>
  <c r="Q95" i="14"/>
  <c r="O95" i="14"/>
  <c r="P95" i="14"/>
  <c r="M95" i="14"/>
  <c r="N95" i="14"/>
  <c r="K95" i="14"/>
  <c r="I95" i="14"/>
  <c r="G95" i="14"/>
  <c r="E95" i="14"/>
  <c r="F95" i="14"/>
  <c r="D95" i="14"/>
  <c r="L405" i="14"/>
  <c r="L398" i="14"/>
  <c r="L403" i="14"/>
  <c r="L106" i="14"/>
  <c r="L397" i="14"/>
  <c r="L89" i="14"/>
  <c r="L400" i="14"/>
  <c r="D400" i="14"/>
  <c r="E400" i="14"/>
  <c r="E97" i="14"/>
  <c r="D97" i="14"/>
  <c r="I399" i="14"/>
  <c r="D399" i="14"/>
  <c r="E399" i="14"/>
  <c r="O399" i="14"/>
  <c r="Q399" i="14"/>
  <c r="M399" i="14"/>
  <c r="P97" i="14"/>
  <c r="Q97" i="14"/>
  <c r="M97" i="14"/>
  <c r="O97" i="14"/>
  <c r="I97" i="14"/>
  <c r="L97" i="14"/>
  <c r="Q89" i="14"/>
  <c r="A6" i="14"/>
  <c r="E173" i="14"/>
  <c r="M405" i="14"/>
  <c r="M141" i="14"/>
  <c r="D190" i="14"/>
  <c r="O224" i="14"/>
  <c r="Q224" i="14"/>
  <c r="E224" i="14"/>
  <c r="E89" i="14"/>
  <c r="O89" i="14"/>
  <c r="K97" i="14"/>
  <c r="N106" i="14"/>
  <c r="D311" i="14"/>
  <c r="K335" i="14"/>
  <c r="P398" i="14"/>
  <c r="K400" i="14"/>
  <c r="F320" i="14"/>
  <c r="P403" i="14"/>
  <c r="F106" i="14"/>
  <c r="M398" i="14"/>
  <c r="G405" i="14"/>
  <c r="P77" i="14"/>
  <c r="E405" i="14"/>
  <c r="D141" i="14"/>
  <c r="K320" i="14"/>
  <c r="D170" i="14"/>
  <c r="I227" i="14"/>
  <c r="I190" i="14"/>
  <c r="P400" i="14"/>
  <c r="D89" i="14"/>
  <c r="N89" i="14"/>
  <c r="P106" i="14"/>
  <c r="M335" i="14"/>
  <c r="G400" i="14"/>
  <c r="E403" i="14"/>
  <c r="N405" i="14"/>
  <c r="O403" i="14"/>
  <c r="N400" i="14"/>
  <c r="G335" i="14"/>
  <c r="E227" i="14"/>
  <c r="D224" i="14"/>
  <c r="P78" i="14"/>
  <c r="G403" i="14"/>
  <c r="O400" i="14"/>
  <c r="H224" i="14"/>
  <c r="P307" i="14"/>
  <c r="P173" i="14"/>
  <c r="G89" i="14"/>
  <c r="O306" i="14"/>
  <c r="O397" i="14"/>
  <c r="G399" i="14"/>
  <c r="K403" i="14"/>
  <c r="I307" i="14"/>
  <c r="P405" i="14"/>
  <c r="M173" i="14"/>
  <c r="N397" i="14"/>
  <c r="D403" i="14"/>
  <c r="F397" i="14"/>
  <c r="I141" i="14"/>
  <c r="O405" i="14"/>
  <c r="E170" i="14"/>
  <c r="M403" i="14"/>
  <c r="P224" i="14"/>
  <c r="O78" i="14"/>
  <c r="M227" i="14"/>
  <c r="P227" i="14"/>
  <c r="I306" i="14"/>
  <c r="F89" i="14"/>
  <c r="P89" i="14"/>
  <c r="Q307" i="14"/>
  <c r="F398" i="14"/>
  <c r="K398" i="14"/>
  <c r="N320" i="14"/>
  <c r="D227" i="14"/>
  <c r="E307" i="14"/>
  <c r="M89" i="14"/>
  <c r="G97" i="14"/>
  <c r="N399" i="14"/>
  <c r="F97" i="14"/>
  <c r="E311" i="14"/>
  <c r="Q398" i="14"/>
  <c r="F400" i="14"/>
  <c r="G397" i="14"/>
  <c r="D173" i="14"/>
  <c r="M400" i="14"/>
  <c r="E190" i="14"/>
  <c r="P397" i="14"/>
  <c r="P306" i="14"/>
  <c r="E306" i="14"/>
  <c r="K89" i="14"/>
  <c r="E106" i="14"/>
  <c r="O307" i="14"/>
  <c r="E398" i="14"/>
  <c r="G320" i="14"/>
  <c r="O77" i="14"/>
  <c r="I173" i="14"/>
  <c r="D307" i="14"/>
  <c r="D405" i="14"/>
  <c r="Q77" i="14"/>
  <c r="E141" i="14"/>
  <c r="Q78" i="14"/>
  <c r="I89" i="14"/>
  <c r="I106" i="14"/>
  <c r="D335" i="14"/>
  <c r="I398" i="14"/>
  <c r="K106" i="14"/>
  <c r="M306" i="14"/>
  <c r="E335" i="14"/>
  <c r="M397" i="14"/>
  <c r="F399" i="14"/>
  <c r="Q400" i="14"/>
  <c r="I403" i="14"/>
  <c r="F405" i="14"/>
  <c r="N97" i="14"/>
  <c r="M106" i="14"/>
  <c r="O173" i="14"/>
  <c r="M307" i="14"/>
  <c r="I335" i="14"/>
  <c r="D398" i="14"/>
  <c r="O398" i="14"/>
  <c r="P399" i="14"/>
  <c r="Q403" i="14"/>
  <c r="Q405" i="14"/>
  <c r="G106" i="14"/>
  <c r="O227" i="14"/>
  <c r="L260" i="14"/>
  <c r="Q306" i="14"/>
  <c r="F335" i="14"/>
  <c r="N398" i="14"/>
  <c r="K399" i="14"/>
  <c r="I400" i="14"/>
  <c r="N403" i="14"/>
  <c r="K405" i="14"/>
  <c r="D106" i="14"/>
  <c r="Q106" i="14"/>
  <c r="D306" i="14"/>
  <c r="N335" i="14"/>
  <c r="K397" i="14"/>
  <c r="G398" i="14"/>
  <c r="F403" i="14"/>
  <c r="N471" i="14"/>
  <c r="H6" i="15" l="1"/>
  <c r="S6" i="15"/>
  <c r="F6" i="15"/>
  <c r="D6" i="15"/>
  <c r="J6" i="15"/>
  <c r="J11" i="15" s="1"/>
  <c r="J44" i="15" s="1"/>
  <c r="L6" i="15"/>
  <c r="L11" i="15" s="1"/>
  <c r="K21" i="11" s="1"/>
  <c r="G6" i="15"/>
  <c r="K6" i="15"/>
  <c r="V6" i="15"/>
  <c r="T6" i="15"/>
  <c r="Q6" i="15"/>
  <c r="Q11" i="15" s="1"/>
  <c r="Q44" i="15" s="1"/>
  <c r="O6" i="15"/>
  <c r="I6" i="15"/>
  <c r="E6" i="15"/>
  <c r="P6" i="15"/>
  <c r="W6" i="15"/>
  <c r="U6" i="15"/>
  <c r="U18" i="11"/>
  <c r="P19" i="11"/>
  <c r="P18" i="11"/>
  <c r="AE8" i="11"/>
  <c r="AC8" i="11" s="1"/>
  <c r="AE10" i="11"/>
  <c r="AC10" i="11" s="1"/>
  <c r="N19" i="11" s="1"/>
  <c r="AE11" i="11"/>
  <c r="AC11" i="11" s="1"/>
  <c r="Q18" i="11" s="1"/>
  <c r="AE7" i="11"/>
  <c r="AC7" i="11" s="1"/>
  <c r="AE9" i="11"/>
  <c r="AC9" i="11" s="1"/>
  <c r="N18" i="11" s="1"/>
  <c r="M3" i="15"/>
  <c r="K3" i="15"/>
  <c r="D3" i="15"/>
  <c r="T3" i="15"/>
  <c r="U3" i="15"/>
  <c r="W3" i="15"/>
  <c r="R3" i="15"/>
  <c r="G3" i="15"/>
  <c r="Q3" i="15"/>
  <c r="Y3" i="15" s="1"/>
  <c r="R53" i="15" s="1"/>
  <c r="R43" i="11" s="1"/>
  <c r="F3" i="15"/>
  <c r="S3" i="15"/>
  <c r="E3" i="15"/>
  <c r="J3" i="15"/>
  <c r="N3" i="15"/>
  <c r="O3" i="15"/>
  <c r="H3" i="15"/>
  <c r="V3" i="15"/>
  <c r="I3" i="15"/>
  <c r="L3" i="15"/>
  <c r="K18" i="11" s="1"/>
  <c r="P3" i="15"/>
  <c r="B3" i="15"/>
  <c r="O471" i="14"/>
  <c r="G471" i="14"/>
  <c r="F471" i="14"/>
  <c r="Q471" i="14" s="1"/>
  <c r="K471" i="14"/>
  <c r="U11" i="15" l="1"/>
  <c r="N6" i="15"/>
  <c r="W11" i="15"/>
  <c r="M6" i="15"/>
  <c r="V11" i="15"/>
  <c r="AB11" i="15"/>
  <c r="D21" i="11"/>
  <c r="AA11" i="15"/>
  <c r="Y11" i="15"/>
  <c r="Y44" i="15" s="1"/>
  <c r="Y47" i="15" s="1"/>
  <c r="Z11" i="15"/>
  <c r="K11" i="15"/>
  <c r="AE14" i="11" s="1"/>
  <c r="AC14" i="11" s="1"/>
  <c r="K44" i="15"/>
  <c r="K47" i="15" s="1"/>
  <c r="J47" i="15"/>
  <c r="L15" i="11" s="1"/>
  <c r="R6" i="15"/>
  <c r="R11" i="15" s="1"/>
  <c r="R44" i="15" s="1"/>
  <c r="R47" i="15" s="1"/>
  <c r="P11" i="15"/>
  <c r="O11" i="15"/>
  <c r="D11" i="15"/>
  <c r="D44" i="15" s="1"/>
  <c r="D47" i="15" s="1"/>
  <c r="F11" i="15"/>
  <c r="F44" i="15" s="1"/>
  <c r="F47" i="15" s="1"/>
  <c r="I11" i="15"/>
  <c r="AE13" i="11" s="1"/>
  <c r="AC13" i="11" s="1"/>
  <c r="H11" i="15"/>
  <c r="H44" i="15"/>
  <c r="H47" i="15" s="1"/>
  <c r="C15" i="11" s="1"/>
  <c r="Z3" i="15"/>
  <c r="U35" i="11" s="1"/>
  <c r="D18" i="11"/>
  <c r="Q47" i="15"/>
  <c r="S13" i="11" l="1"/>
  <c r="G65" i="14"/>
  <c r="H66" i="14" s="1"/>
  <c r="P15" i="11"/>
  <c r="R15" i="11"/>
  <c r="G11" i="11"/>
  <c r="G13" i="11"/>
  <c r="S11" i="11"/>
  <c r="N11" i="15"/>
  <c r="N44" i="15" s="1"/>
  <c r="N47" i="15" s="1"/>
  <c r="Z44" i="15"/>
  <c r="Z47" i="15"/>
  <c r="AA44" i="15"/>
  <c r="AA47" i="15"/>
  <c r="X11" i="15"/>
  <c r="X44" i="15" s="1"/>
  <c r="X47" i="15" s="1"/>
  <c r="Y48" i="15" s="1"/>
  <c r="I44" i="15"/>
  <c r="I47" i="15" s="1"/>
  <c r="U21" i="11"/>
  <c r="P44" i="15"/>
  <c r="P47" i="15" s="1"/>
  <c r="O44" i="15"/>
  <c r="O47" i="15" s="1"/>
  <c r="AE18" i="11"/>
  <c r="AC18" i="11" s="1"/>
  <c r="Q21" i="11" s="1"/>
  <c r="AB47" i="15"/>
  <c r="AB44" i="15"/>
  <c r="M11" i="15"/>
  <c r="M44" i="15" s="1"/>
  <c r="M47" i="15" s="1"/>
  <c r="R35" i="11"/>
  <c r="X3" i="15"/>
  <c r="R52" i="15" s="1"/>
  <c r="R42" i="11" s="1"/>
  <c r="H65" i="14" l="1"/>
  <c r="M31" i="11" s="1"/>
  <c r="AC47" i="15"/>
  <c r="L35" i="11" s="1"/>
  <c r="AE52" i="11"/>
  <c r="AC52" i="11" s="1"/>
  <c r="T31" i="11" s="1"/>
  <c r="P49" i="15"/>
  <c r="Q49" i="15" s="1"/>
  <c r="P50" i="15"/>
  <c r="S47" i="15"/>
  <c r="U31" i="11" s="1"/>
  <c r="V31" i="11" s="1"/>
  <c r="AE15" i="11"/>
  <c r="AC15" i="11" s="1"/>
  <c r="N21" i="11" s="1"/>
  <c r="AE16" i="11"/>
  <c r="AC16" i="11" s="1"/>
  <c r="N22" i="11" s="1"/>
  <c r="X48" i="15"/>
  <c r="H39" i="11" s="1"/>
  <c r="AE51" i="11"/>
  <c r="AC51" i="11" s="1"/>
  <c r="J15" i="11" s="1"/>
  <c r="R37" i="11"/>
  <c r="U37" i="11"/>
  <c r="S21" i="11"/>
  <c r="H35" i="11" l="1"/>
  <c r="G15" i="11"/>
  <c r="L39" i="11"/>
  <c r="P21" i="11"/>
  <c r="P22" i="11"/>
  <c r="U29" i="11"/>
  <c r="Q50" i="15"/>
  <c r="X56" i="11"/>
  <c r="P29" i="11"/>
  <c r="Q31" i="11"/>
</calcChain>
</file>

<file path=xl/sharedStrings.xml><?xml version="1.0" encoding="utf-8"?>
<sst xmlns="http://schemas.openxmlformats.org/spreadsheetml/2006/main" count="3186" uniqueCount="693">
  <si>
    <t>社員番号</t>
    <rPh sb="0" eb="2">
      <t>シャイン</t>
    </rPh>
    <rPh sb="2" eb="4">
      <t>バンゴウ</t>
    </rPh>
    <phoneticPr fontId="1"/>
  </si>
  <si>
    <t>氏　名</t>
    <rPh sb="0" eb="1">
      <t>シ</t>
    </rPh>
    <rPh sb="2" eb="3">
      <t>ナ</t>
    </rPh>
    <phoneticPr fontId="1"/>
  </si>
  <si>
    <t>退勤時分</t>
    <rPh sb="0" eb="2">
      <t>タイキン</t>
    </rPh>
    <rPh sb="2" eb="4">
      <t>ジフン</t>
    </rPh>
    <phoneticPr fontId="1"/>
  </si>
  <si>
    <t>公休</t>
    <rPh sb="0" eb="2">
      <t>コウキュウ</t>
    </rPh>
    <phoneticPr fontId="1"/>
  </si>
  <si>
    <t>増休</t>
    <rPh sb="0" eb="1">
      <t>ゾウ</t>
    </rPh>
    <rPh sb="1" eb="2">
      <t>キュウ</t>
    </rPh>
    <phoneticPr fontId="1"/>
  </si>
  <si>
    <t>日付</t>
    <rPh sb="0" eb="2">
      <t>ヒヅケ</t>
    </rPh>
    <phoneticPr fontId="1"/>
  </si>
  <si>
    <t>日</t>
  </si>
  <si>
    <t>元日</t>
  </si>
  <si>
    <t>月</t>
  </si>
  <si>
    <t>木</t>
  </si>
  <si>
    <t>火</t>
  </si>
  <si>
    <t>春分の日</t>
  </si>
  <si>
    <t>昭和の日</t>
  </si>
  <si>
    <t>水</t>
  </si>
  <si>
    <t>憲法記念日</t>
  </si>
  <si>
    <t>みどりの日</t>
  </si>
  <si>
    <t>金</t>
  </si>
  <si>
    <t>こどもの日</t>
  </si>
  <si>
    <t>秋分の日</t>
  </si>
  <si>
    <t>勤労感謝の</t>
  </si>
  <si>
    <t>振替休日</t>
  </si>
  <si>
    <t>所定時分</t>
    <rPh sb="0" eb="2">
      <t>ショテイ</t>
    </rPh>
    <rPh sb="2" eb="4">
      <t>ジフン</t>
    </rPh>
    <phoneticPr fontId="1"/>
  </si>
  <si>
    <t>出勤時分</t>
    <rPh sb="0" eb="2">
      <t>シュッキン</t>
    </rPh>
    <rPh sb="2" eb="4">
      <t>ジブン</t>
    </rPh>
    <phoneticPr fontId="1"/>
  </si>
  <si>
    <t>系統</t>
    <rPh sb="0" eb="2">
      <t>ケイトウ</t>
    </rPh>
    <phoneticPr fontId="1"/>
  </si>
  <si>
    <t>開始地</t>
    <rPh sb="0" eb="2">
      <t>カイシ</t>
    </rPh>
    <rPh sb="2" eb="3">
      <t>チ</t>
    </rPh>
    <phoneticPr fontId="1"/>
  </si>
  <si>
    <t>終了地</t>
    <rPh sb="0" eb="2">
      <t>シュウリョウ</t>
    </rPh>
    <rPh sb="2" eb="3">
      <t>チ</t>
    </rPh>
    <phoneticPr fontId="1"/>
  </si>
  <si>
    <t>開始時間</t>
    <rPh sb="0" eb="2">
      <t>カイシ</t>
    </rPh>
    <rPh sb="2" eb="4">
      <t>ジカン</t>
    </rPh>
    <phoneticPr fontId="1"/>
  </si>
  <si>
    <t>終了時間</t>
    <rPh sb="0" eb="2">
      <t>シュウリョウ</t>
    </rPh>
    <rPh sb="2" eb="4">
      <t>ジカン</t>
    </rPh>
    <phoneticPr fontId="1"/>
  </si>
  <si>
    <t>車両1</t>
    <rPh sb="0" eb="2">
      <t>シャリョウ</t>
    </rPh>
    <phoneticPr fontId="1"/>
  </si>
  <si>
    <t>本    社</t>
    <rPh sb="0" eb="1">
      <t>ホン</t>
    </rPh>
    <rPh sb="5" eb="6">
      <t>シャ</t>
    </rPh>
    <phoneticPr fontId="1"/>
  </si>
  <si>
    <t>発車時間</t>
    <rPh sb="0" eb="2">
      <t>ハッシャ</t>
    </rPh>
    <rPh sb="2" eb="4">
      <t>ジカン</t>
    </rPh>
    <phoneticPr fontId="1"/>
  </si>
  <si>
    <t>到着時間</t>
    <rPh sb="0" eb="2">
      <t>トウチャク</t>
    </rPh>
    <rPh sb="2" eb="4">
      <t>ジカン</t>
    </rPh>
    <phoneticPr fontId="1"/>
  </si>
  <si>
    <t>ハンドル</t>
    <phoneticPr fontId="1"/>
  </si>
  <si>
    <t>距離</t>
    <rPh sb="0" eb="2">
      <t>キョリ</t>
    </rPh>
    <phoneticPr fontId="1"/>
  </si>
  <si>
    <t>中休開始</t>
    <rPh sb="0" eb="1">
      <t>ナカ</t>
    </rPh>
    <rPh sb="1" eb="2">
      <t>キュウ</t>
    </rPh>
    <rPh sb="2" eb="4">
      <t>カイシ</t>
    </rPh>
    <phoneticPr fontId="1"/>
  </si>
  <si>
    <t>中休終了</t>
    <rPh sb="0" eb="1">
      <t>ナカ</t>
    </rPh>
    <rPh sb="1" eb="2">
      <t>キュウ</t>
    </rPh>
    <rPh sb="2" eb="4">
      <t>シュウリョウ</t>
    </rPh>
    <phoneticPr fontId="1"/>
  </si>
  <si>
    <t>別待機始</t>
    <rPh sb="0" eb="1">
      <t>ベツ</t>
    </rPh>
    <rPh sb="1" eb="3">
      <t>タイキ</t>
    </rPh>
    <rPh sb="3" eb="4">
      <t>ハジ</t>
    </rPh>
    <phoneticPr fontId="1"/>
  </si>
  <si>
    <t>別待機終</t>
    <rPh sb="0" eb="1">
      <t>ベツ</t>
    </rPh>
    <rPh sb="1" eb="3">
      <t>タイキ</t>
    </rPh>
    <rPh sb="3" eb="4">
      <t>オ</t>
    </rPh>
    <phoneticPr fontId="1"/>
  </si>
  <si>
    <t>代務リスト(平日)</t>
    <rPh sb="0" eb="2">
      <t>ダイム</t>
    </rPh>
    <phoneticPr fontId="1"/>
  </si>
  <si>
    <t>時間</t>
    <rPh sb="0" eb="2">
      <t>ジカン</t>
    </rPh>
    <phoneticPr fontId="1"/>
  </si>
  <si>
    <t>代務 １</t>
    <rPh sb="0" eb="1">
      <t>ダイム</t>
    </rPh>
    <phoneticPr fontId="1"/>
  </si>
  <si>
    <t xml:space="preserve">   －〃－</t>
    <phoneticPr fontId="1"/>
  </si>
  <si>
    <t>代務 ２</t>
    <rPh sb="0" eb="1">
      <t>ダイム</t>
    </rPh>
    <phoneticPr fontId="1"/>
  </si>
  <si>
    <t>実働時間</t>
    <rPh sb="0" eb="2">
      <t>ジツドウ</t>
    </rPh>
    <rPh sb="2" eb="4">
      <t>ジカン</t>
    </rPh>
    <phoneticPr fontId="1"/>
  </si>
  <si>
    <t>北    浜</t>
    <rPh sb="0" eb="1">
      <t>キタ</t>
    </rPh>
    <rPh sb="5" eb="6">
      <t>ハマ</t>
    </rPh>
    <phoneticPr fontId="1"/>
  </si>
  <si>
    <t>岩    崎</t>
    <rPh sb="0" eb="1">
      <t>イワ</t>
    </rPh>
    <rPh sb="5" eb="6">
      <t>サキ</t>
    </rPh>
    <phoneticPr fontId="1"/>
  </si>
  <si>
    <t>代務開始が北浜～駅</t>
    <rPh sb="0" eb="2">
      <t>ダイム</t>
    </rPh>
    <rPh sb="2" eb="4">
      <t>カイシ</t>
    </rPh>
    <rPh sb="5" eb="7">
      <t>キタハマ</t>
    </rPh>
    <rPh sb="8" eb="9">
      <t>エキ</t>
    </rPh>
    <phoneticPr fontId="1"/>
  </si>
  <si>
    <t>代務終了が駅～北浜</t>
    <rPh sb="0" eb="2">
      <t>ダイム</t>
    </rPh>
    <rPh sb="2" eb="4">
      <t>シュウリョウ</t>
    </rPh>
    <rPh sb="5" eb="6">
      <t>エキ</t>
    </rPh>
    <rPh sb="7" eb="9">
      <t>キタハマ</t>
    </rPh>
    <phoneticPr fontId="1"/>
  </si>
  <si>
    <t>宿泊しますか？</t>
    <rPh sb="0" eb="2">
      <t>シュクハク</t>
    </rPh>
    <phoneticPr fontId="1"/>
  </si>
  <si>
    <t>YES</t>
    <phoneticPr fontId="1"/>
  </si>
  <si>
    <t>NO</t>
  </si>
  <si>
    <t>NO</t>
    <phoneticPr fontId="1"/>
  </si>
  <si>
    <t>塩    江</t>
    <rPh sb="0" eb="1">
      <t>シオ</t>
    </rPh>
    <rPh sb="5" eb="6">
      <t>エ</t>
    </rPh>
    <phoneticPr fontId="1"/>
  </si>
  <si>
    <t>1588</t>
    <phoneticPr fontId="1"/>
  </si>
  <si>
    <t>本勤務</t>
    <rPh sb="0" eb="1">
      <t>ホン</t>
    </rPh>
    <rPh sb="1" eb="3">
      <t>キンム</t>
    </rPh>
    <phoneticPr fontId="1"/>
  </si>
  <si>
    <t>1020</t>
    <phoneticPr fontId="1"/>
  </si>
  <si>
    <t>1022</t>
    <phoneticPr fontId="1"/>
  </si>
  <si>
    <t>1067</t>
    <phoneticPr fontId="1"/>
  </si>
  <si>
    <t>15</t>
  </si>
  <si>
    <t>3</t>
    <phoneticPr fontId="1"/>
  </si>
  <si>
    <t>4</t>
  </si>
  <si>
    <t>5</t>
  </si>
  <si>
    <t>6</t>
  </si>
  <si>
    <t>7</t>
  </si>
  <si>
    <t>8</t>
  </si>
  <si>
    <t>9</t>
  </si>
  <si>
    <t>10</t>
  </si>
  <si>
    <t>11</t>
  </si>
  <si>
    <t>12</t>
  </si>
  <si>
    <t>13</t>
  </si>
  <si>
    <t>14</t>
  </si>
  <si>
    <t>16</t>
  </si>
  <si>
    <t>18</t>
  </si>
  <si>
    <t>19</t>
  </si>
  <si>
    <t>20</t>
  </si>
  <si>
    <t>21</t>
  </si>
  <si>
    <t>22</t>
  </si>
  <si>
    <t>23</t>
  </si>
  <si>
    <t>代務３</t>
    <rPh sb="0" eb="1">
      <t>ダイム</t>
    </rPh>
    <phoneticPr fontId="1"/>
  </si>
  <si>
    <t>代務１</t>
    <rPh sb="0" eb="2">
      <t>ダイム</t>
    </rPh>
    <phoneticPr fontId="1"/>
  </si>
  <si>
    <t>代務２</t>
    <rPh sb="0" eb="2">
      <t>ダイム</t>
    </rPh>
    <phoneticPr fontId="1"/>
  </si>
  <si>
    <t>←最小値</t>
    <rPh sb="1" eb="4">
      <t>サイショウチ</t>
    </rPh>
    <phoneticPr fontId="1"/>
  </si>
  <si>
    <t>←最大値</t>
    <rPh sb="1" eb="4">
      <t>サイダイチ</t>
    </rPh>
    <phoneticPr fontId="1"/>
  </si>
  <si>
    <t>↑最小値</t>
    <rPh sb="1" eb="4">
      <t>サイショウチ</t>
    </rPh>
    <phoneticPr fontId="1"/>
  </si>
  <si>
    <t>↑最大値</t>
    <rPh sb="1" eb="3">
      <t>サイダイ</t>
    </rPh>
    <rPh sb="3" eb="4">
      <t>チ</t>
    </rPh>
    <phoneticPr fontId="1"/>
  </si>
  <si>
    <t>乗務開始</t>
    <rPh sb="0" eb="2">
      <t>ジョウム</t>
    </rPh>
    <rPh sb="2" eb="4">
      <t>カイシ</t>
    </rPh>
    <phoneticPr fontId="1"/>
  </si>
  <si>
    <t>乗務終了</t>
    <rPh sb="0" eb="2">
      <t>ジョウム</t>
    </rPh>
    <rPh sb="2" eb="4">
      <t>シュウリョウ</t>
    </rPh>
    <phoneticPr fontId="1"/>
  </si>
  <si>
    <t>代務３</t>
    <rPh sb="0" eb="2">
      <t>ダイム</t>
    </rPh>
    <phoneticPr fontId="1"/>
  </si>
  <si>
    <t>代務４</t>
    <rPh sb="0" eb="2">
      <t>ダイム</t>
    </rPh>
    <phoneticPr fontId="1"/>
  </si>
  <si>
    <t>代務４</t>
    <rPh sb="0" eb="1">
      <t>ダイム</t>
    </rPh>
    <phoneticPr fontId="1"/>
  </si>
  <si>
    <t>点検した？</t>
    <rPh sb="0" eb="2">
      <t>テンケン</t>
    </rPh>
    <phoneticPr fontId="1"/>
  </si>
  <si>
    <t>K</t>
    <phoneticPr fontId="1"/>
  </si>
  <si>
    <t>1005</t>
    <phoneticPr fontId="1"/>
  </si>
  <si>
    <t>1030</t>
    <phoneticPr fontId="1"/>
  </si>
  <si>
    <t>1057</t>
    <phoneticPr fontId="1"/>
  </si>
  <si>
    <t>本　日</t>
    <rPh sb="0" eb="1">
      <t>ホン</t>
    </rPh>
    <rPh sb="2" eb="3">
      <t>ヒ</t>
    </rPh>
    <phoneticPr fontId="1"/>
  </si>
  <si>
    <t>明　日</t>
    <rPh sb="0" eb="1">
      <t>アキラ</t>
    </rPh>
    <rPh sb="2" eb="3">
      <t>ヒ</t>
    </rPh>
    <phoneticPr fontId="1"/>
  </si>
  <si>
    <t>代務集計</t>
    <rPh sb="0" eb="2">
      <t>ダイム</t>
    </rPh>
    <rPh sb="2" eb="4">
      <t>シュウケイ</t>
    </rPh>
    <phoneticPr fontId="1"/>
  </si>
  <si>
    <t>本勤合算</t>
    <rPh sb="0" eb="1">
      <t>ホン</t>
    </rPh>
    <rPh sb="1" eb="2">
      <t>ツトム</t>
    </rPh>
    <rPh sb="2" eb="4">
      <t>ガッサン</t>
    </rPh>
    <phoneticPr fontId="1"/>
  </si>
  <si>
    <t>明後日</t>
    <rPh sb="0" eb="3">
      <t>アサッテ</t>
    </rPh>
    <phoneticPr fontId="1"/>
  </si>
  <si>
    <t>半角文字</t>
    <rPh sb="0" eb="2">
      <t>ハンカク</t>
    </rPh>
    <rPh sb="2" eb="4">
      <t>モジ</t>
    </rPh>
    <phoneticPr fontId="1"/>
  </si>
  <si>
    <t>0:00</t>
    <phoneticPr fontId="1"/>
  </si>
  <si>
    <t>0.0</t>
    <phoneticPr fontId="1"/>
  </si>
  <si>
    <t>予備実働</t>
    <rPh sb="0" eb="2">
      <t>ヨビ</t>
    </rPh>
    <rPh sb="2" eb="4">
      <t>ジツドウ</t>
    </rPh>
    <phoneticPr fontId="1"/>
  </si>
  <si>
    <t>Y1</t>
    <phoneticPr fontId="1"/>
  </si>
  <si>
    <t>Y2</t>
    <phoneticPr fontId="1"/>
  </si>
  <si>
    <t>Y4</t>
    <phoneticPr fontId="1"/>
  </si>
  <si>
    <t>Y5</t>
    <phoneticPr fontId="1"/>
  </si>
  <si>
    <t>予備１休</t>
    <rPh sb="0" eb="2">
      <t>ヨビ</t>
    </rPh>
    <rPh sb="3" eb="4">
      <t>キュウ</t>
    </rPh>
    <phoneticPr fontId="1"/>
  </si>
  <si>
    <t>予備２休</t>
    <rPh sb="0" eb="2">
      <t>ヨビ</t>
    </rPh>
    <rPh sb="3" eb="4">
      <t>キュウ</t>
    </rPh>
    <phoneticPr fontId="1"/>
  </si>
  <si>
    <t>予備４休</t>
    <rPh sb="0" eb="2">
      <t>ヨビ</t>
    </rPh>
    <rPh sb="3" eb="4">
      <t>キュウ</t>
    </rPh>
    <phoneticPr fontId="1"/>
  </si>
  <si>
    <t>予備５休</t>
    <rPh sb="0" eb="2">
      <t>ヨビ</t>
    </rPh>
    <rPh sb="3" eb="4">
      <t>キュウ</t>
    </rPh>
    <phoneticPr fontId="1"/>
  </si>
  <si>
    <t>1070</t>
    <phoneticPr fontId="1"/>
  </si>
  <si>
    <t>(K)＊100</t>
    <phoneticPr fontId="1"/>
  </si>
  <si>
    <t>(K)＊60</t>
    <phoneticPr fontId="1"/>
  </si>
  <si>
    <t>点検有り</t>
    <rPh sb="0" eb="2">
      <t>テンケン</t>
    </rPh>
    <rPh sb="2" eb="3">
      <t>ア</t>
    </rPh>
    <phoneticPr fontId="1"/>
  </si>
  <si>
    <t>点検無し</t>
    <rPh sb="0" eb="2">
      <t>テンケン</t>
    </rPh>
    <rPh sb="2" eb="3">
      <t>ナ</t>
    </rPh>
    <phoneticPr fontId="1"/>
  </si>
  <si>
    <t>↑　　判定　　↑</t>
    <rPh sb="3" eb="5">
      <t>ハンテイ</t>
    </rPh>
    <phoneticPr fontId="1"/>
  </si>
  <si>
    <t>↑</t>
    <phoneticPr fontId="1"/>
  </si>
  <si>
    <t>別実働</t>
    <rPh sb="0" eb="1">
      <t>ベツ</t>
    </rPh>
    <rPh sb="1" eb="3">
      <t>ジツドウ</t>
    </rPh>
    <phoneticPr fontId="1"/>
  </si>
  <si>
    <t>やしまーる休館</t>
    <rPh sb="5" eb="7">
      <t>キュウカン</t>
    </rPh>
    <phoneticPr fontId="1"/>
  </si>
  <si>
    <t xml:space="preserve">      の国民の祝日・休日</t>
    <phoneticPr fontId="1"/>
  </si>
  <si>
    <t>深夜判定</t>
    <rPh sb="0" eb="2">
      <t>シンヤ</t>
    </rPh>
    <rPh sb="2" eb="4">
      <t>ハンテイ</t>
    </rPh>
    <phoneticPr fontId="1"/>
  </si>
  <si>
    <t>半角挿入？→</t>
    <rPh sb="0" eb="2">
      <t>ハンカク</t>
    </rPh>
    <rPh sb="2" eb="4">
      <t>ソウニュウ</t>
    </rPh>
    <phoneticPr fontId="1"/>
  </si>
  <si>
    <t>B B2 →</t>
    <phoneticPr fontId="1"/>
  </si>
  <si>
    <t>別待機</t>
    <rPh sb="0" eb="1">
      <t>ベツ</t>
    </rPh>
    <rPh sb="1" eb="3">
      <t>タイキ</t>
    </rPh>
    <phoneticPr fontId="1"/>
  </si>
  <si>
    <t>全実働計</t>
    <rPh sb="0" eb="1">
      <t>ゼン</t>
    </rPh>
    <rPh sb="1" eb="3">
      <t>ジツドウ</t>
    </rPh>
    <rPh sb="3" eb="4">
      <t>ケイ</t>
    </rPh>
    <phoneticPr fontId="1"/>
  </si>
  <si>
    <t>1075</t>
    <phoneticPr fontId="1"/>
  </si>
  <si>
    <t>1027</t>
    <phoneticPr fontId="1"/>
  </si>
  <si>
    <t>1068</t>
    <phoneticPr fontId="1"/>
  </si>
  <si>
    <t>３日後</t>
    <rPh sb="1" eb="3">
      <t>ニチゴ</t>
    </rPh>
    <rPh sb="2" eb="3">
      <t>アト</t>
    </rPh>
    <phoneticPr fontId="1"/>
  </si>
  <si>
    <t>４日後</t>
    <rPh sb="2" eb="3">
      <t>アト</t>
    </rPh>
    <phoneticPr fontId="1"/>
  </si>
  <si>
    <t>1081</t>
    <phoneticPr fontId="1"/>
  </si>
  <si>
    <t>1036</t>
    <phoneticPr fontId="1"/>
  </si>
  <si>
    <t>1051</t>
    <phoneticPr fontId="1"/>
  </si>
  <si>
    <t>1006</t>
    <phoneticPr fontId="1"/>
  </si>
  <si>
    <t>西植田</t>
    <rPh sb="0" eb="1">
      <t>ニシ</t>
    </rPh>
    <rPh sb="1" eb="2">
      <t>ショク</t>
    </rPh>
    <rPh sb="2" eb="3">
      <t>タ</t>
    </rPh>
    <phoneticPr fontId="1"/>
  </si>
  <si>
    <t>1025</t>
    <phoneticPr fontId="1"/>
  </si>
  <si>
    <t>1032</t>
    <phoneticPr fontId="1"/>
  </si>
  <si>
    <t>1072</t>
    <phoneticPr fontId="1"/>
  </si>
  <si>
    <t>弓弦羽</t>
    <rPh sb="0" eb="2">
      <t>ユズリ</t>
    </rPh>
    <rPh sb="2" eb="3">
      <t>ハネ</t>
    </rPh>
    <phoneticPr fontId="1"/>
  </si>
  <si>
    <t>428</t>
    <phoneticPr fontId="1"/>
  </si>
  <si>
    <t>1021</t>
    <phoneticPr fontId="1"/>
  </si>
  <si>
    <t>1061</t>
    <phoneticPr fontId="1"/>
  </si>
  <si>
    <t>1015</t>
    <phoneticPr fontId="1"/>
  </si>
  <si>
    <t>307</t>
    <phoneticPr fontId="1"/>
  </si>
  <si>
    <t>1056</t>
    <phoneticPr fontId="1"/>
  </si>
  <si>
    <t>427</t>
    <phoneticPr fontId="1"/>
  </si>
  <si>
    <t>1008</t>
    <phoneticPr fontId="1"/>
  </si>
  <si>
    <t>　</t>
    <phoneticPr fontId="1"/>
  </si>
  <si>
    <t>日付を消す</t>
    <rPh sb="0" eb="2">
      <t>ヒヅケ</t>
    </rPh>
    <rPh sb="3" eb="4">
      <t>ケ</t>
    </rPh>
    <phoneticPr fontId="1"/>
  </si>
  <si>
    <t>５日後</t>
    <rPh sb="2" eb="3">
      <t>アト</t>
    </rPh>
    <phoneticPr fontId="1"/>
  </si>
  <si>
    <t>北浜始</t>
    <rPh sb="0" eb="2">
      <t>キタハマ</t>
    </rPh>
    <rPh sb="2" eb="3">
      <t>ハジ</t>
    </rPh>
    <phoneticPr fontId="1"/>
  </si>
  <si>
    <t>北浜終</t>
    <rPh sb="0" eb="2">
      <t>キタハマ</t>
    </rPh>
    <rPh sb="2" eb="3">
      <t>オ</t>
    </rPh>
    <phoneticPr fontId="1"/>
  </si>
  <si>
    <t>通算km</t>
    <rPh sb="0" eb="2">
      <t>ツウサン</t>
    </rPh>
    <phoneticPr fontId="1"/>
  </si>
  <si>
    <t>藤田　和文</t>
    <rPh sb="0" eb="2">
      <t>フジタ</t>
    </rPh>
    <rPh sb="3" eb="5">
      <t>カズフミ</t>
    </rPh>
    <phoneticPr fontId="1"/>
  </si>
  <si>
    <t>ハンドル</t>
  </si>
  <si>
    <t>事故、遅延 道路状況等 必要事項</t>
    <rPh sb="0" eb="2">
      <t>ジコ</t>
    </rPh>
    <rPh sb="3" eb="5">
      <t>チエン</t>
    </rPh>
    <rPh sb="6" eb="8">
      <t>ドウロ</t>
    </rPh>
    <rPh sb="8" eb="10">
      <t>ジョウキョウ</t>
    </rPh>
    <rPh sb="10" eb="11">
      <t>トウ</t>
    </rPh>
    <rPh sb="12" eb="14">
      <t>ヒツヨウ</t>
    </rPh>
    <rPh sb="14" eb="16">
      <t>ジコウ</t>
    </rPh>
    <phoneticPr fontId="1"/>
  </si>
  <si>
    <t>書く</t>
    <rPh sb="0" eb="1">
      <t>カ</t>
    </rPh>
    <phoneticPr fontId="1"/>
  </si>
  <si>
    <t xml:space="preserve">  本社より回送で出発地。</t>
    <rPh sb="2" eb="4">
      <t>ホンシャ</t>
    </rPh>
    <rPh sb="6" eb="8">
      <t>カイソウ</t>
    </rPh>
    <rPh sb="9" eb="11">
      <t>シュッパツ</t>
    </rPh>
    <rPh sb="11" eb="12">
      <t>チ</t>
    </rPh>
    <phoneticPr fontId="1"/>
  </si>
  <si>
    <t xml:space="preserve">  到着地より回送で本社戻り。</t>
    <rPh sb="2" eb="5">
      <t>トウチャクチ</t>
    </rPh>
    <rPh sb="7" eb="9">
      <t>カイソウ</t>
    </rPh>
    <rPh sb="10" eb="12">
      <t>ホンシャ</t>
    </rPh>
    <rPh sb="12" eb="13">
      <t>モド</t>
    </rPh>
    <phoneticPr fontId="1"/>
  </si>
  <si>
    <t>　航空機到着遅れで延着　　分。</t>
    <rPh sb="1" eb="4">
      <t>コウクウキ</t>
    </rPh>
    <rPh sb="4" eb="6">
      <t>トウチャク</t>
    </rPh>
    <rPh sb="6" eb="7">
      <t>オク</t>
    </rPh>
    <rPh sb="9" eb="11">
      <t>エンチャク</t>
    </rPh>
    <rPh sb="13" eb="14">
      <t>フン</t>
    </rPh>
    <phoneticPr fontId="1"/>
  </si>
  <si>
    <t>岩藤　正樹</t>
    <rPh sb="0" eb="2">
      <t>イワフジ</t>
    </rPh>
    <rPh sb="3" eb="5">
      <t>マサキ</t>
    </rPh>
    <phoneticPr fontId="1"/>
  </si>
  <si>
    <t>６日後</t>
    <rPh sb="2" eb="3">
      <t>アト</t>
    </rPh>
    <phoneticPr fontId="1"/>
  </si>
  <si>
    <t>K2</t>
    <phoneticPr fontId="1"/>
  </si>
  <si>
    <t>社員番号</t>
    <rPh sb="0" eb="4">
      <t>シャインバンゴウ</t>
    </rPh>
    <phoneticPr fontId="1"/>
  </si>
  <si>
    <t>氏名</t>
    <rPh sb="0" eb="2">
      <t>シメイ</t>
    </rPh>
    <phoneticPr fontId="1"/>
  </si>
  <si>
    <t>眞鍋　和義</t>
    <rPh sb="0" eb="2">
      <t>マナベ</t>
    </rPh>
    <rPh sb="3" eb="5">
      <t>カズヨシ</t>
    </rPh>
    <phoneticPr fontId="1"/>
  </si>
  <si>
    <t>坂口　光男</t>
    <rPh sb="0" eb="2">
      <t>サカグチ</t>
    </rPh>
    <rPh sb="3" eb="5">
      <t>ミツオ</t>
    </rPh>
    <phoneticPr fontId="1"/>
  </si>
  <si>
    <t>公休</t>
  </si>
  <si>
    <t>兼近　光夫</t>
    <rPh sb="0" eb="2">
      <t>カネチカ</t>
    </rPh>
    <rPh sb="3" eb="5">
      <t>ミツオ</t>
    </rPh>
    <phoneticPr fontId="1"/>
  </si>
  <si>
    <t>田宮　真理</t>
    <rPh sb="0" eb="2">
      <t>タミヤ</t>
    </rPh>
    <rPh sb="3" eb="5">
      <t>マリ</t>
    </rPh>
    <phoneticPr fontId="1"/>
  </si>
  <si>
    <t>河合　邦夫</t>
    <rPh sb="0" eb="2">
      <t>カワイ</t>
    </rPh>
    <rPh sb="3" eb="5">
      <t>クニオ</t>
    </rPh>
    <phoneticPr fontId="1"/>
  </si>
  <si>
    <t>安部 正勇輝</t>
    <rPh sb="0" eb="2">
      <t>アベ</t>
    </rPh>
    <rPh sb="3" eb="4">
      <t>マサ</t>
    </rPh>
    <rPh sb="4" eb="5">
      <t>ユウ</t>
    </rPh>
    <rPh sb="5" eb="6">
      <t>カガヤ</t>
    </rPh>
    <phoneticPr fontId="1"/>
  </si>
  <si>
    <t>長田　康弘</t>
    <rPh sb="0" eb="2">
      <t>オサダ</t>
    </rPh>
    <rPh sb="3" eb="5">
      <t>ヤスヒロ</t>
    </rPh>
    <phoneticPr fontId="1"/>
  </si>
  <si>
    <t>石成　政彦</t>
    <rPh sb="0" eb="2">
      <t>イシナ</t>
    </rPh>
    <rPh sb="3" eb="5">
      <t>マサヒコ</t>
    </rPh>
    <phoneticPr fontId="1"/>
  </si>
  <si>
    <t>元木　広明</t>
    <rPh sb="0" eb="2">
      <t>モトキ</t>
    </rPh>
    <rPh sb="3" eb="5">
      <t>ヒロアキ</t>
    </rPh>
    <phoneticPr fontId="1"/>
  </si>
  <si>
    <t>細谷　一登</t>
    <rPh sb="0" eb="2">
      <t>ホソタニ</t>
    </rPh>
    <rPh sb="3" eb="4">
      <t>カズ</t>
    </rPh>
    <rPh sb="4" eb="5">
      <t>ノボ</t>
    </rPh>
    <phoneticPr fontId="1"/>
  </si>
  <si>
    <t>市ノ瀬　功</t>
    <rPh sb="0" eb="1">
      <t>イチ</t>
    </rPh>
    <rPh sb="2" eb="3">
      <t>セ</t>
    </rPh>
    <rPh sb="4" eb="5">
      <t>イサオ</t>
    </rPh>
    <phoneticPr fontId="1"/>
  </si>
  <si>
    <t>山地　輝明</t>
    <rPh sb="0" eb="2">
      <t>サンチ</t>
    </rPh>
    <rPh sb="3" eb="5">
      <t>テルアキ</t>
    </rPh>
    <phoneticPr fontId="1"/>
  </si>
  <si>
    <t>藤井　卓仁</t>
    <rPh sb="0" eb="2">
      <t>フジイ</t>
    </rPh>
    <rPh sb="3" eb="4">
      <t>タク</t>
    </rPh>
    <rPh sb="4" eb="5">
      <t>ジン</t>
    </rPh>
    <phoneticPr fontId="1"/>
  </si>
  <si>
    <t>新谷　清人</t>
    <rPh sb="0" eb="2">
      <t>シンタニ</t>
    </rPh>
    <rPh sb="3" eb="5">
      <t>キヨヒト</t>
    </rPh>
    <phoneticPr fontId="1"/>
  </si>
  <si>
    <t>角田　忠司</t>
    <rPh sb="0" eb="2">
      <t>カクタ</t>
    </rPh>
    <rPh sb="3" eb="4">
      <t>タダシ</t>
    </rPh>
    <rPh sb="4" eb="5">
      <t>ツカサ</t>
    </rPh>
    <phoneticPr fontId="1"/>
  </si>
  <si>
    <t>山田　裕貴</t>
    <rPh sb="0" eb="2">
      <t>ヤマダ</t>
    </rPh>
    <rPh sb="3" eb="5">
      <t>ユウキ</t>
    </rPh>
    <phoneticPr fontId="1"/>
  </si>
  <si>
    <t>平田　大祐</t>
    <rPh sb="0" eb="2">
      <t>ヒラタ</t>
    </rPh>
    <rPh sb="3" eb="5">
      <t>ダイスケ</t>
    </rPh>
    <phoneticPr fontId="1"/>
  </si>
  <si>
    <t>駒井　伸行</t>
    <rPh sb="0" eb="2">
      <t>コマイ</t>
    </rPh>
    <rPh sb="3" eb="5">
      <t>ノブユキ</t>
    </rPh>
    <phoneticPr fontId="1"/>
  </si>
  <si>
    <t>藤富　 龍</t>
    <rPh sb="0" eb="2">
      <t>フジトミ</t>
    </rPh>
    <rPh sb="4" eb="5">
      <t>リュウ</t>
    </rPh>
    <phoneticPr fontId="1"/>
  </si>
  <si>
    <t>坂口　政文</t>
    <rPh sb="0" eb="2">
      <t>サカグチ</t>
    </rPh>
    <rPh sb="3" eb="5">
      <t>マサフミ</t>
    </rPh>
    <phoneticPr fontId="1"/>
  </si>
  <si>
    <t>森　 勇二郎</t>
    <rPh sb="0" eb="1">
      <t>モリ</t>
    </rPh>
    <rPh sb="3" eb="6">
      <t>ユウジロウ</t>
    </rPh>
    <phoneticPr fontId="1"/>
  </si>
  <si>
    <t>宮武　浩司</t>
    <rPh sb="0" eb="2">
      <t>ミヤタケ</t>
    </rPh>
    <rPh sb="3" eb="5">
      <t>コウジ</t>
    </rPh>
    <phoneticPr fontId="1"/>
  </si>
  <si>
    <t>林　　聖二</t>
    <rPh sb="0" eb="1">
      <t>ハヤシ</t>
    </rPh>
    <rPh sb="3" eb="5">
      <t>セイジ</t>
    </rPh>
    <phoneticPr fontId="1"/>
  </si>
  <si>
    <t>寺川　和博</t>
    <rPh sb="0" eb="2">
      <t>テラカワ</t>
    </rPh>
    <rPh sb="3" eb="4">
      <t>カズ</t>
    </rPh>
    <rPh sb="4" eb="5">
      <t>ヒロシ</t>
    </rPh>
    <phoneticPr fontId="1"/>
  </si>
  <si>
    <t>多田　涼佑</t>
    <rPh sb="0" eb="2">
      <t>タダ</t>
    </rPh>
    <rPh sb="3" eb="4">
      <t>リョウ</t>
    </rPh>
    <rPh sb="4" eb="5">
      <t>スケ</t>
    </rPh>
    <phoneticPr fontId="1"/>
  </si>
  <si>
    <t>多田 真奈美</t>
    <rPh sb="0" eb="2">
      <t>タダ</t>
    </rPh>
    <rPh sb="3" eb="6">
      <t>マナミ</t>
    </rPh>
    <phoneticPr fontId="1"/>
  </si>
  <si>
    <t>美濃 　彰</t>
    <rPh sb="0" eb="2">
      <t>ミノ</t>
    </rPh>
    <rPh sb="4" eb="5">
      <t>アキラ</t>
    </rPh>
    <phoneticPr fontId="1"/>
  </si>
  <si>
    <t>中休↓</t>
    <rPh sb="0" eb="2">
      <t>チュウキュウ</t>
    </rPh>
    <phoneticPr fontId="1"/>
  </si>
  <si>
    <t xml:space="preserve">  </t>
    <phoneticPr fontId="1"/>
  </si>
  <si>
    <t>2003</t>
    <phoneticPr fontId="1"/>
  </si>
  <si>
    <t>細谷　一登</t>
    <rPh sb="0" eb="2">
      <t>ホソタニ</t>
    </rPh>
    <rPh sb="3" eb="4">
      <t>カズ</t>
    </rPh>
    <phoneticPr fontId="1"/>
  </si>
  <si>
    <t>竹本　俊一</t>
    <rPh sb="0" eb="2">
      <t>タケモト</t>
    </rPh>
    <rPh sb="3" eb="5">
      <t>シュンイチ</t>
    </rPh>
    <phoneticPr fontId="1"/>
  </si>
  <si>
    <t/>
  </si>
  <si>
    <t>吉岡　清秀</t>
    <rPh sb="0" eb="2">
      <t>ヨシオカ</t>
    </rPh>
    <rPh sb="3" eb="5">
      <t>キヨヒデ</t>
    </rPh>
    <phoneticPr fontId="1"/>
  </si>
  <si>
    <t>退勤時間</t>
    <rPh sb="0" eb="2">
      <t>タイキン</t>
    </rPh>
    <rPh sb="2" eb="4">
      <t>ジカン</t>
    </rPh>
    <phoneticPr fontId="1"/>
  </si>
  <si>
    <t>出発時間</t>
    <rPh sb="0" eb="2">
      <t>シュッパツ</t>
    </rPh>
    <rPh sb="2" eb="4">
      <t>ジカン</t>
    </rPh>
    <phoneticPr fontId="1"/>
  </si>
  <si>
    <t>猪熊　利昭</t>
    <phoneticPr fontId="1"/>
  </si>
  <si>
    <t xml:space="preserve"> ワンマン</t>
    <phoneticPr fontId="1"/>
  </si>
  <si>
    <t>熊　　 伸弥</t>
    <rPh sb="0" eb="1">
      <t>クマ</t>
    </rPh>
    <rPh sb="4" eb="6">
      <t>シンヤ</t>
    </rPh>
    <phoneticPr fontId="1"/>
  </si>
  <si>
    <t>駒井　伸行</t>
    <rPh sb="0" eb="2">
      <t>コマイ</t>
    </rPh>
    <rPh sb="3" eb="4">
      <t>ノブ</t>
    </rPh>
    <rPh sb="4" eb="5">
      <t>ユ</t>
    </rPh>
    <phoneticPr fontId="1"/>
  </si>
  <si>
    <t>回送＋ハンドル</t>
    <rPh sb="0" eb="2">
      <t>カイソウ</t>
    </rPh>
    <phoneticPr fontId="1"/>
  </si>
  <si>
    <t>1083</t>
    <phoneticPr fontId="1"/>
  </si>
  <si>
    <t>中村　行伸</t>
    <rPh sb="0" eb="2">
      <t>ナカムラ</t>
    </rPh>
    <rPh sb="3" eb="5">
      <t>ユキノブ</t>
    </rPh>
    <phoneticPr fontId="1"/>
  </si>
  <si>
    <t>:</t>
    <phoneticPr fontId="1"/>
  </si>
  <si>
    <t>金倉　幸資</t>
    <rPh sb="0" eb="2">
      <t>カナクラ</t>
    </rPh>
    <rPh sb="3" eb="4">
      <t>サチ</t>
    </rPh>
    <rPh sb="4" eb="5">
      <t>シ</t>
    </rPh>
    <phoneticPr fontId="1"/>
  </si>
  <si>
    <t xml:space="preserve"> </t>
    <phoneticPr fontId="1"/>
  </si>
  <si>
    <t>休憩扱い</t>
    <rPh sb="0" eb="2">
      <t>キュウケイ</t>
    </rPh>
    <rPh sb="2" eb="3">
      <t>アツカ</t>
    </rPh>
    <phoneticPr fontId="1"/>
  </si>
  <si>
    <t>新谷　清人</t>
    <rPh sb="0" eb="2">
      <t>シンタニ</t>
    </rPh>
    <rPh sb="3" eb="5">
      <t>キヨト</t>
    </rPh>
    <phoneticPr fontId="1"/>
  </si>
  <si>
    <t>スタート日</t>
    <rPh sb="4" eb="5">
      <t>ヒ</t>
    </rPh>
    <phoneticPr fontId="1"/>
  </si>
  <si>
    <t>何日目↓</t>
    <rPh sb="0" eb="3">
      <t>ナンニチメ</t>
    </rPh>
    <phoneticPr fontId="1"/>
  </si>
  <si>
    <t>今日は↓</t>
    <rPh sb="0" eb="2">
      <t>キョウ</t>
    </rPh>
    <phoneticPr fontId="1"/>
  </si>
  <si>
    <t xml:space="preserve">１-２                       </t>
  </si>
  <si>
    <t>1038</t>
    <phoneticPr fontId="1"/>
  </si>
  <si>
    <t>1028</t>
    <phoneticPr fontId="1"/>
  </si>
  <si>
    <t xml:space="preserve">１-４                      </t>
  </si>
  <si>
    <t xml:space="preserve">１-５                      </t>
  </si>
  <si>
    <t xml:space="preserve">１-９                      </t>
  </si>
  <si>
    <t xml:space="preserve">６-５　回送行+全部               </t>
  </si>
  <si>
    <t xml:space="preserve">１-１                      </t>
  </si>
  <si>
    <t>１-３　12:00-14:25</t>
  </si>
  <si>
    <t>１-３　15:55-18:30</t>
  </si>
  <si>
    <t>１-３　19:50-20:52</t>
  </si>
  <si>
    <t xml:space="preserve">１-３                      </t>
  </si>
  <si>
    <t xml:space="preserve">１-６                      </t>
  </si>
  <si>
    <t>１-７　7:15-9:55</t>
  </si>
  <si>
    <t>１-７　14:30-15:40</t>
  </si>
  <si>
    <t>１-７　17:05-19:45</t>
  </si>
  <si>
    <t xml:space="preserve">１-８                      </t>
  </si>
  <si>
    <t xml:space="preserve">８-５　回送行+全部               </t>
  </si>
  <si>
    <t xml:space="preserve">10-１                     </t>
  </si>
  <si>
    <t>-</t>
  </si>
  <si>
    <t xml:space="preserve">３-１                      </t>
    <phoneticPr fontId="1"/>
  </si>
  <si>
    <t xml:space="preserve">３-２　回送行+全部               </t>
    <phoneticPr fontId="1"/>
  </si>
  <si>
    <t xml:space="preserve">３-２                      </t>
    <phoneticPr fontId="1"/>
  </si>
  <si>
    <t xml:space="preserve">３-３                      </t>
    <phoneticPr fontId="1"/>
  </si>
  <si>
    <t>３-３　18:02-20:11</t>
    <phoneticPr fontId="1"/>
  </si>
  <si>
    <t>３-４　9:40-11:05</t>
    <phoneticPr fontId="1"/>
  </si>
  <si>
    <t>３-４　17:37-18:50</t>
    <phoneticPr fontId="1"/>
  </si>
  <si>
    <t>３-４　17:37-19:25(回送戻)</t>
    <phoneticPr fontId="1"/>
  </si>
  <si>
    <t>３-５　6:36-7:41</t>
    <phoneticPr fontId="1"/>
  </si>
  <si>
    <t>３-５　5:58-7:41(回送行)</t>
    <phoneticPr fontId="1"/>
  </si>
  <si>
    <t xml:space="preserve">３-５                      </t>
    <phoneticPr fontId="1"/>
  </si>
  <si>
    <t xml:space="preserve">３-５　回送行+全部               </t>
    <phoneticPr fontId="1"/>
  </si>
  <si>
    <t>４-２　6:32-8:21(回送行)</t>
    <phoneticPr fontId="1"/>
  </si>
  <si>
    <t xml:space="preserve">４-２　回送行+全部               </t>
    <phoneticPr fontId="1"/>
  </si>
  <si>
    <t>４-３　6:00-7:58</t>
    <phoneticPr fontId="1"/>
  </si>
  <si>
    <t>４-３　9:52-11:14</t>
    <phoneticPr fontId="1"/>
  </si>
  <si>
    <t>４-３　17:28-19:28</t>
    <phoneticPr fontId="1"/>
  </si>
  <si>
    <t>４-４　8:25-9:09</t>
    <phoneticPr fontId="1"/>
  </si>
  <si>
    <t>５-１　20:22-21:05</t>
    <phoneticPr fontId="1"/>
  </si>
  <si>
    <t>５-１　17:49-19:58</t>
  </si>
  <si>
    <t>７-１　20:20-21:39(回送戻)</t>
  </si>
  <si>
    <t>７-２　6:45-7:39</t>
  </si>
  <si>
    <t>７-２　6:07-7:39(回送行)</t>
  </si>
  <si>
    <t>駅-本社</t>
    <rPh sb="0" eb="1">
      <t>エキ</t>
    </rPh>
    <rPh sb="2" eb="4">
      <t>ホンシャ</t>
    </rPh>
    <phoneticPr fontId="1"/>
  </si>
  <si>
    <t>５-２　9:15-10:53</t>
    <phoneticPr fontId="1"/>
  </si>
  <si>
    <t>５-２　6:42-8:14(回送行)</t>
    <phoneticPr fontId="1"/>
  </si>
  <si>
    <t>５-３　16:10-17:49</t>
    <phoneticPr fontId="1"/>
  </si>
  <si>
    <t xml:space="preserve">５-３                      </t>
    <phoneticPr fontId="1"/>
  </si>
  <si>
    <t>５-４　16:28-18:14</t>
    <phoneticPr fontId="1"/>
  </si>
  <si>
    <t xml:space="preserve">５-４                      </t>
    <phoneticPr fontId="1"/>
  </si>
  <si>
    <t>1073</t>
    <phoneticPr fontId="1"/>
  </si>
  <si>
    <t xml:space="preserve">５-５                      </t>
    <phoneticPr fontId="1"/>
  </si>
  <si>
    <t>427     1588     1051</t>
    <phoneticPr fontId="1"/>
  </si>
  <si>
    <t>６-１　19:15-20:32(回送戻)</t>
    <phoneticPr fontId="1"/>
  </si>
  <si>
    <t>６-１　10:12-12:10</t>
    <phoneticPr fontId="1"/>
  </si>
  <si>
    <t>６-１　19:15-20:02</t>
    <phoneticPr fontId="1"/>
  </si>
  <si>
    <t>６-２　6:55-7:47</t>
    <phoneticPr fontId="1"/>
  </si>
  <si>
    <t>６-２　6:22-7:47(回送行)</t>
    <phoneticPr fontId="1"/>
  </si>
  <si>
    <t xml:space="preserve">６-２                      </t>
    <phoneticPr fontId="1"/>
  </si>
  <si>
    <t>６-３　18:12-20:07</t>
    <phoneticPr fontId="1"/>
  </si>
  <si>
    <t>６-４　16:00-17:23</t>
    <phoneticPr fontId="1"/>
  </si>
  <si>
    <t>６-４　18:25-19:37</t>
    <phoneticPr fontId="1"/>
  </si>
  <si>
    <t>６-４　18:25-20:12(回送戻)</t>
    <phoneticPr fontId="1"/>
  </si>
  <si>
    <t xml:space="preserve">１-１　全部+回送戻               </t>
    <rPh sb="3" eb="5">
      <t>ゼンブ</t>
    </rPh>
    <rPh sb="7" eb="9">
      <t>カイソウ</t>
    </rPh>
    <rPh sb="8" eb="9">
      <t>モド</t>
    </rPh>
    <phoneticPr fontId="1"/>
  </si>
  <si>
    <t xml:space="preserve">１-２　回送行+全部               </t>
    <phoneticPr fontId="1"/>
  </si>
  <si>
    <t xml:space="preserve">３-４　全部+回送戻               </t>
    <phoneticPr fontId="1"/>
  </si>
  <si>
    <t xml:space="preserve">４-１　全部+回送戻               </t>
    <phoneticPr fontId="1"/>
  </si>
  <si>
    <t xml:space="preserve">４-４　全部+回送戻                 </t>
    <phoneticPr fontId="1"/>
  </si>
  <si>
    <t xml:space="preserve">４-５　回送行+全部               </t>
    <phoneticPr fontId="1"/>
  </si>
  <si>
    <t xml:space="preserve">５-１　全部+回送戻               </t>
    <phoneticPr fontId="1"/>
  </si>
  <si>
    <t xml:space="preserve">５-２　回送行+全部               </t>
    <phoneticPr fontId="1"/>
  </si>
  <si>
    <t xml:space="preserve">６-１　全部+回送戻                </t>
    <rPh sb="7" eb="8">
      <t>モド</t>
    </rPh>
    <phoneticPr fontId="1"/>
  </si>
  <si>
    <t xml:space="preserve">６-２　回送行+全部               </t>
    <phoneticPr fontId="1"/>
  </si>
  <si>
    <t xml:space="preserve">６-４　全部+回送戻               </t>
    <phoneticPr fontId="1"/>
  </si>
  <si>
    <t>６-５　6:42-7:48</t>
    <phoneticPr fontId="1"/>
  </si>
  <si>
    <t>６-５　6:04-7:48(回送行)</t>
    <phoneticPr fontId="1"/>
  </si>
  <si>
    <t>７-１　15:05-17:04</t>
    <phoneticPr fontId="1"/>
  </si>
  <si>
    <t>７-１　20:20-21:04</t>
    <phoneticPr fontId="1"/>
  </si>
  <si>
    <t>７-２　8:07-10:11</t>
    <phoneticPr fontId="1"/>
  </si>
  <si>
    <t xml:space="preserve">７-３                      </t>
    <phoneticPr fontId="1"/>
  </si>
  <si>
    <t>７-４　17:30-19:52</t>
    <phoneticPr fontId="1"/>
  </si>
  <si>
    <t xml:space="preserve">７-４                      </t>
    <phoneticPr fontId="1"/>
  </si>
  <si>
    <t xml:space="preserve">７-５                      </t>
    <phoneticPr fontId="1"/>
  </si>
  <si>
    <t>1077</t>
    <phoneticPr fontId="1"/>
  </si>
  <si>
    <t>８-１　16:48-19:17</t>
    <phoneticPr fontId="1"/>
  </si>
  <si>
    <t>８-１　20:30-21:07</t>
    <phoneticPr fontId="1"/>
  </si>
  <si>
    <t>８-１　20:30-21:37(回送戻)</t>
    <phoneticPr fontId="1"/>
  </si>
  <si>
    <t>1032       428</t>
    <phoneticPr fontId="1"/>
  </si>
  <si>
    <t xml:space="preserve">８-４　全部+回送戻                 </t>
    <phoneticPr fontId="1"/>
  </si>
  <si>
    <t xml:space="preserve">８-１　全部+回送戻               </t>
    <phoneticPr fontId="1"/>
  </si>
  <si>
    <t xml:space="preserve">８-２　回送行+全部               </t>
    <phoneticPr fontId="1"/>
  </si>
  <si>
    <t xml:space="preserve">７-１　全部+回送戻               </t>
    <phoneticPr fontId="1"/>
  </si>
  <si>
    <t xml:space="preserve">７-２　回送行+全部               </t>
    <phoneticPr fontId="1"/>
  </si>
  <si>
    <t>８-４　19:28-20:08</t>
    <phoneticPr fontId="1"/>
  </si>
  <si>
    <t>８-４　19:28-20:38(回送戻)</t>
    <phoneticPr fontId="1"/>
  </si>
  <si>
    <t xml:space="preserve">９-１　全部+回送戻               </t>
    <phoneticPr fontId="1"/>
  </si>
  <si>
    <t xml:space="preserve">９-１                      </t>
    <phoneticPr fontId="1"/>
  </si>
  <si>
    <t>９-１　13:13-14:33</t>
    <phoneticPr fontId="1"/>
  </si>
  <si>
    <t xml:space="preserve">９-２　回送行+全部              </t>
    <phoneticPr fontId="1"/>
  </si>
  <si>
    <t xml:space="preserve">９-２                      </t>
    <phoneticPr fontId="1"/>
  </si>
  <si>
    <t>９-４　18:30-20:46</t>
    <phoneticPr fontId="1"/>
  </si>
  <si>
    <t>９-４　18:30-19:09</t>
    <phoneticPr fontId="1"/>
  </si>
  <si>
    <t>1076</t>
    <phoneticPr fontId="1"/>
  </si>
  <si>
    <t xml:space="preserve">10-３                     </t>
    <phoneticPr fontId="1"/>
  </si>
  <si>
    <t xml:space="preserve">10-４　全部+回送戻              </t>
    <phoneticPr fontId="1"/>
  </si>
  <si>
    <t xml:space="preserve">10-４                     </t>
    <phoneticPr fontId="1"/>
  </si>
  <si>
    <t>10-４　11:07-12:42</t>
    <phoneticPr fontId="1"/>
  </si>
  <si>
    <t>10-４　13:58-16:28</t>
    <phoneticPr fontId="1"/>
  </si>
  <si>
    <t>10-４　17:43-19:20</t>
    <phoneticPr fontId="1"/>
  </si>
  <si>
    <t xml:space="preserve">10-５　回送行+全部              </t>
    <phoneticPr fontId="1"/>
  </si>
  <si>
    <t xml:space="preserve">10-５                     </t>
    <phoneticPr fontId="1"/>
  </si>
  <si>
    <t>10-５　6:52-7:56</t>
    <phoneticPr fontId="1"/>
  </si>
  <si>
    <t>10-５　6:14-7:56(回送行)</t>
    <phoneticPr fontId="1"/>
  </si>
  <si>
    <t xml:space="preserve">はみ ２                      </t>
    <phoneticPr fontId="1"/>
  </si>
  <si>
    <t xml:space="preserve">はみ ３                      </t>
    <phoneticPr fontId="1"/>
  </si>
  <si>
    <t xml:space="preserve">はみ ４                     </t>
    <phoneticPr fontId="1"/>
  </si>
  <si>
    <t xml:space="preserve">はみ ５                      </t>
    <phoneticPr fontId="1"/>
  </si>
  <si>
    <t xml:space="preserve">はみ ６                      </t>
    <phoneticPr fontId="1"/>
  </si>
  <si>
    <t xml:space="preserve">10-１                     </t>
    <phoneticPr fontId="1"/>
  </si>
  <si>
    <t xml:space="preserve">10-２                     </t>
    <phoneticPr fontId="1"/>
  </si>
  <si>
    <t xml:space="preserve">９-３                      </t>
    <phoneticPr fontId="1"/>
  </si>
  <si>
    <t xml:space="preserve">９-４                      </t>
    <phoneticPr fontId="1"/>
  </si>
  <si>
    <t xml:space="preserve">９-５                      </t>
    <phoneticPr fontId="1"/>
  </si>
  <si>
    <t xml:space="preserve">４-２                      </t>
    <phoneticPr fontId="1"/>
  </si>
  <si>
    <t xml:space="preserve">４-３                      </t>
    <phoneticPr fontId="1"/>
  </si>
  <si>
    <t xml:space="preserve">４-４                      </t>
    <phoneticPr fontId="1"/>
  </si>
  <si>
    <t xml:space="preserve">４-５                      </t>
    <phoneticPr fontId="1"/>
  </si>
  <si>
    <t xml:space="preserve">３-４                      </t>
    <phoneticPr fontId="1"/>
  </si>
  <si>
    <t xml:space="preserve">４-１                      </t>
    <phoneticPr fontId="1"/>
  </si>
  <si>
    <t xml:space="preserve">５-２                      </t>
    <phoneticPr fontId="1"/>
  </si>
  <si>
    <t xml:space="preserve">６-１                      </t>
    <phoneticPr fontId="1"/>
  </si>
  <si>
    <t xml:space="preserve">６-３                      </t>
    <phoneticPr fontId="1"/>
  </si>
  <si>
    <t xml:space="preserve">６-４                      </t>
    <phoneticPr fontId="1"/>
  </si>
  <si>
    <t xml:space="preserve">６-５                      </t>
    <phoneticPr fontId="1"/>
  </si>
  <si>
    <t xml:space="preserve">５-１                      </t>
    <phoneticPr fontId="1"/>
  </si>
  <si>
    <t xml:space="preserve">８-１                      </t>
    <phoneticPr fontId="1"/>
  </si>
  <si>
    <t xml:space="preserve">８-２                      </t>
    <phoneticPr fontId="1"/>
  </si>
  <si>
    <t xml:space="preserve">８-３                      </t>
    <phoneticPr fontId="1"/>
  </si>
  <si>
    <t xml:space="preserve">８-４                      </t>
    <phoneticPr fontId="1"/>
  </si>
  <si>
    <t xml:space="preserve">８-５                      </t>
    <phoneticPr fontId="1"/>
  </si>
  <si>
    <t xml:space="preserve">７-１                      </t>
    <phoneticPr fontId="1"/>
  </si>
  <si>
    <t xml:space="preserve">７-２                      </t>
    <phoneticPr fontId="1"/>
  </si>
  <si>
    <t xml:space="preserve">１-１                      </t>
    <phoneticPr fontId="1"/>
  </si>
  <si>
    <t xml:space="preserve">１-２                       </t>
    <phoneticPr fontId="1"/>
  </si>
  <si>
    <t xml:space="preserve">１-３                      </t>
    <phoneticPr fontId="1"/>
  </si>
  <si>
    <t xml:space="preserve">１-４                      </t>
    <phoneticPr fontId="1"/>
  </si>
  <si>
    <t xml:space="preserve">１-５                      </t>
    <phoneticPr fontId="1"/>
  </si>
  <si>
    <t xml:space="preserve">１-６                      </t>
    <phoneticPr fontId="1"/>
  </si>
  <si>
    <t xml:space="preserve">１-７                      </t>
    <phoneticPr fontId="1"/>
  </si>
  <si>
    <t xml:space="preserve">１-８                      </t>
    <phoneticPr fontId="1"/>
  </si>
  <si>
    <t xml:space="preserve">１-９                      </t>
    <phoneticPr fontId="1"/>
  </si>
  <si>
    <t>安部 正勇輝</t>
    <phoneticPr fontId="1"/>
  </si>
  <si>
    <t>泉谷　 優</t>
    <rPh sb="0" eb="2">
      <t>イズミタニ</t>
    </rPh>
    <rPh sb="4" eb="5">
      <t>ユウ</t>
    </rPh>
    <phoneticPr fontId="1"/>
  </si>
  <si>
    <t>多田　涼佑</t>
    <phoneticPr fontId="1"/>
  </si>
  <si>
    <t>予備１　　6:00～</t>
    <rPh sb="0" eb="1">
      <t>ヨビ</t>
    </rPh>
    <phoneticPr fontId="1"/>
  </si>
  <si>
    <t>予備２　　6:15～</t>
    <rPh sb="0" eb="1">
      <t>ヨビ</t>
    </rPh>
    <phoneticPr fontId="1"/>
  </si>
  <si>
    <t>予備４　～19:00</t>
    <rPh sb="0" eb="1">
      <t>ヨビ</t>
    </rPh>
    <phoneticPr fontId="1"/>
  </si>
  <si>
    <t>予備５　～21：00</t>
    <rPh sb="0" eb="1">
      <t>ヨビ</t>
    </rPh>
    <phoneticPr fontId="1"/>
  </si>
  <si>
    <t>北    浜</t>
  </si>
  <si>
    <t xml:space="preserve">２-６                       </t>
    <phoneticPr fontId="1"/>
  </si>
  <si>
    <t xml:space="preserve">２-５                          </t>
    <phoneticPr fontId="1"/>
  </si>
  <si>
    <t xml:space="preserve">２-４                       </t>
    <phoneticPr fontId="1"/>
  </si>
  <si>
    <t xml:space="preserve">２-３                          </t>
    <phoneticPr fontId="1"/>
  </si>
  <si>
    <t xml:space="preserve">２-２                          </t>
    <phoneticPr fontId="1"/>
  </si>
  <si>
    <t xml:space="preserve">R-１                       </t>
    <phoneticPr fontId="1"/>
  </si>
  <si>
    <t xml:space="preserve">R-２                      </t>
    <phoneticPr fontId="1"/>
  </si>
  <si>
    <t xml:space="preserve">R-３                      </t>
    <phoneticPr fontId="1"/>
  </si>
  <si>
    <t xml:space="preserve">R-４                      </t>
    <phoneticPr fontId="1"/>
  </si>
  <si>
    <t xml:space="preserve">R-５                      </t>
    <phoneticPr fontId="1"/>
  </si>
  <si>
    <t xml:space="preserve">R-６                      </t>
    <phoneticPr fontId="1"/>
  </si>
  <si>
    <t xml:space="preserve">R-７                      </t>
    <phoneticPr fontId="1"/>
  </si>
  <si>
    <t xml:space="preserve">R-８                      </t>
    <phoneticPr fontId="1"/>
  </si>
  <si>
    <t xml:space="preserve">R-９                      </t>
    <phoneticPr fontId="1"/>
  </si>
  <si>
    <t xml:space="preserve">R-10                      </t>
    <phoneticPr fontId="1"/>
  </si>
  <si>
    <t xml:space="preserve">R-11                      </t>
    <phoneticPr fontId="1"/>
  </si>
  <si>
    <t xml:space="preserve">R-12                      </t>
    <phoneticPr fontId="1"/>
  </si>
  <si>
    <t xml:space="preserve">R-13                      </t>
    <phoneticPr fontId="1"/>
  </si>
  <si>
    <t xml:space="preserve">R-14                      </t>
    <phoneticPr fontId="1"/>
  </si>
  <si>
    <t xml:space="preserve">R-15                      </t>
    <phoneticPr fontId="1"/>
  </si>
  <si>
    <t xml:space="preserve">R-16                      </t>
    <phoneticPr fontId="1"/>
  </si>
  <si>
    <t xml:space="preserve">R-17                      </t>
    <phoneticPr fontId="1"/>
  </si>
  <si>
    <t xml:space="preserve">R-18                      </t>
    <phoneticPr fontId="1"/>
  </si>
  <si>
    <t>５-２　7:15-8:14</t>
    <phoneticPr fontId="1"/>
  </si>
  <si>
    <t>庵    治</t>
    <rPh sb="0" eb="1">
      <t>イオリ</t>
    </rPh>
    <rPh sb="5" eb="6">
      <t>オサム</t>
    </rPh>
    <phoneticPr fontId="1"/>
  </si>
  <si>
    <t>庵    治</t>
    <phoneticPr fontId="1"/>
  </si>
  <si>
    <t>10-１　19:30-21:16</t>
    <phoneticPr fontId="1"/>
  </si>
  <si>
    <t>所要時間</t>
    <rPh sb="0" eb="2">
      <t>ショヨウ</t>
    </rPh>
    <rPh sb="2" eb="4">
      <t>ジカン</t>
    </rPh>
    <phoneticPr fontId="1"/>
  </si>
  <si>
    <t>山地　輝明</t>
    <rPh sb="0" eb="2">
      <t>ヤマジ</t>
    </rPh>
    <rPh sb="3" eb="5">
      <t>テルアキ</t>
    </rPh>
    <phoneticPr fontId="1"/>
  </si>
  <si>
    <t>10-１　12:57-14:47</t>
    <phoneticPr fontId="1"/>
  </si>
  <si>
    <t xml:space="preserve">２-１                          </t>
    <phoneticPr fontId="1"/>
  </si>
  <si>
    <t>３-２　6:13-8:00(回送行)</t>
    <phoneticPr fontId="1"/>
  </si>
  <si>
    <t>秋津 　隆</t>
    <rPh sb="0" eb="2">
      <t>アキツ</t>
    </rPh>
    <rPh sb="4" eb="5">
      <t>タカシ</t>
    </rPh>
    <phoneticPr fontId="1"/>
  </si>
  <si>
    <t>８-４　16:57-18:38</t>
    <phoneticPr fontId="1"/>
  </si>
  <si>
    <t xml:space="preserve">空港 発 [リスト外1]             </t>
    <rPh sb="0" eb="2">
      <t>クウコウ</t>
    </rPh>
    <rPh sb="8" eb="9">
      <t>ソト</t>
    </rPh>
    <phoneticPr fontId="1"/>
  </si>
  <si>
    <t xml:space="preserve">空港 発 [リスト外2]             </t>
    <rPh sb="9" eb="10">
      <t>ソト</t>
    </rPh>
    <phoneticPr fontId="1"/>
  </si>
  <si>
    <t xml:space="preserve">附属 中　8:00(駅発)                        </t>
    <rPh sb="0" eb="1">
      <t>フゾク</t>
    </rPh>
    <rPh sb="3" eb="4">
      <t>ナカ</t>
    </rPh>
    <rPh sb="10" eb="12">
      <t>エキハツ</t>
    </rPh>
    <phoneticPr fontId="1"/>
  </si>
  <si>
    <t xml:space="preserve">附属 中　16:05-              </t>
    <rPh sb="1" eb="2">
      <t>ナカ</t>
    </rPh>
    <phoneticPr fontId="1"/>
  </si>
  <si>
    <t xml:space="preserve">附属 中　17:20-             </t>
    <rPh sb="1" eb="2">
      <t>ナカ</t>
    </rPh>
    <phoneticPr fontId="1"/>
  </si>
  <si>
    <t xml:space="preserve">附属 中　16:05/17:20         </t>
    <rPh sb="0" eb="1">
      <t>フゾク</t>
    </rPh>
    <rPh sb="3" eb="4">
      <t>ナカ</t>
    </rPh>
    <phoneticPr fontId="1"/>
  </si>
  <si>
    <t xml:space="preserve">附属 中　[リスト外1]             </t>
    <rPh sb="0" eb="2">
      <t>フゾク</t>
    </rPh>
    <rPh sb="3" eb="4">
      <t>ナカ</t>
    </rPh>
    <rPh sb="9" eb="10">
      <t>ソト</t>
    </rPh>
    <phoneticPr fontId="1"/>
  </si>
  <si>
    <t xml:space="preserve">附属 中　[リスト外2]             </t>
    <rPh sb="0" eb="2">
      <t>フゾク</t>
    </rPh>
    <rPh sb="3" eb="4">
      <t>ナカ</t>
    </rPh>
    <rPh sb="9" eb="10">
      <t>ソト</t>
    </rPh>
    <phoneticPr fontId="1"/>
  </si>
  <si>
    <t xml:space="preserve">夕夜 景 18:01～                </t>
    <rPh sb="0" eb="1">
      <t>ユウ</t>
    </rPh>
    <rPh sb="1" eb="2">
      <t>ヨル</t>
    </rPh>
    <rPh sb="3" eb="4">
      <t>ケイ</t>
    </rPh>
    <phoneticPr fontId="1"/>
  </si>
  <si>
    <t xml:space="preserve">附属 中　16:20/17:20         </t>
    <rPh sb="0" eb="1">
      <t>フゾク</t>
    </rPh>
    <rPh sb="3" eb="4">
      <t>ナカ</t>
    </rPh>
    <phoneticPr fontId="1"/>
  </si>
  <si>
    <t xml:space="preserve">はみ １　9:29-17:11           </t>
    <phoneticPr fontId="1"/>
  </si>
  <si>
    <t>５-１　20:22-21:35(回送戻)</t>
    <phoneticPr fontId="1"/>
  </si>
  <si>
    <t>1087</t>
  </si>
  <si>
    <t>３-３　6:24-8:15</t>
    <phoneticPr fontId="1"/>
  </si>
  <si>
    <t>６-１　16:32-18:19</t>
    <phoneticPr fontId="1"/>
  </si>
  <si>
    <t>６-３　9:04-10:53</t>
    <phoneticPr fontId="1"/>
  </si>
  <si>
    <t>６-３　15:25-17:15</t>
    <phoneticPr fontId="1"/>
  </si>
  <si>
    <t>７-４　14:25-16:14</t>
    <phoneticPr fontId="1"/>
  </si>
  <si>
    <t>９-１　6:39-8:54</t>
    <phoneticPr fontId="1"/>
  </si>
  <si>
    <t>３-３　11:50-13:39</t>
    <phoneticPr fontId="1"/>
  </si>
  <si>
    <t>８-３　18:43-20:42</t>
    <phoneticPr fontId="1"/>
  </si>
  <si>
    <t>石川　浩士</t>
    <rPh sb="0" eb="2">
      <t>イシカワ</t>
    </rPh>
    <rPh sb="3" eb="5">
      <t>ヒロシ</t>
    </rPh>
    <phoneticPr fontId="1"/>
  </si>
  <si>
    <t xml:space="preserve">空港 発  11:30～              </t>
    <rPh sb="0" eb="2">
      <t>クウコウ</t>
    </rPh>
    <rPh sb="3" eb="4">
      <t>ハッ</t>
    </rPh>
    <phoneticPr fontId="1"/>
  </si>
  <si>
    <t>お盆休み</t>
    <rPh sb="1" eb="2">
      <t>ボン</t>
    </rPh>
    <rPh sb="2" eb="3">
      <t>ヤス</t>
    </rPh>
    <phoneticPr fontId="1"/>
  </si>
  <si>
    <t>水</t>
    <rPh sb="0" eb="1">
      <t>スイ</t>
    </rPh>
    <phoneticPr fontId="1"/>
  </si>
  <si>
    <t>月</t>
    <rPh sb="0" eb="1">
      <t>ツキ</t>
    </rPh>
    <phoneticPr fontId="1"/>
  </si>
  <si>
    <t>竹地　晃一</t>
    <rPh sb="0" eb="2">
      <t>タケチ</t>
    </rPh>
    <rPh sb="3" eb="5">
      <t>コウイチ</t>
    </rPh>
    <phoneticPr fontId="1"/>
  </si>
  <si>
    <t>綱島　千敏</t>
    <rPh sb="0" eb="2">
      <t>ツナジマ</t>
    </rPh>
    <rPh sb="3" eb="5">
      <t>チトシ</t>
    </rPh>
    <phoneticPr fontId="1"/>
  </si>
  <si>
    <t>１-１　9:03-10:20</t>
    <phoneticPr fontId="1"/>
  </si>
  <si>
    <t>1050</t>
    <phoneticPr fontId="1"/>
  </si>
  <si>
    <t>1588     1050     1015</t>
    <phoneticPr fontId="1"/>
  </si>
  <si>
    <t>1060</t>
    <phoneticPr fontId="1"/>
  </si>
  <si>
    <t>３-４　11:51-13:08</t>
    <phoneticPr fontId="1"/>
  </si>
  <si>
    <t>４-４　10:31-11:48</t>
    <phoneticPr fontId="1"/>
  </si>
  <si>
    <t>６-１　13:03-14:20</t>
    <phoneticPr fontId="1"/>
  </si>
  <si>
    <t>９-１　10:23-11:40</t>
    <phoneticPr fontId="1"/>
  </si>
  <si>
    <t>はみ ２　7:18-9:08</t>
    <phoneticPr fontId="1"/>
  </si>
  <si>
    <t>はみ ２　9:51-11:08</t>
    <phoneticPr fontId="1"/>
  </si>
  <si>
    <t>はみ ２　13:11-14:28</t>
    <phoneticPr fontId="1"/>
  </si>
  <si>
    <t>はみ ２　16:23-19:15</t>
    <phoneticPr fontId="1"/>
  </si>
  <si>
    <t>１-１　12:23-13:40</t>
    <phoneticPr fontId="1"/>
  </si>
  <si>
    <t>１-１　15:51-18:28</t>
    <phoneticPr fontId="1"/>
  </si>
  <si>
    <t>１-１ (休) 15:51-18:12</t>
    <rPh sb="4" eb="5">
      <t>キュウ</t>
    </rPh>
    <phoneticPr fontId="1"/>
  </si>
  <si>
    <t>１-１  19:20-20:44</t>
    <phoneticPr fontId="1"/>
  </si>
  <si>
    <t>１-１　19:20-21:34(回送戻)</t>
    <rPh sb="15" eb="17">
      <t>カイソウ</t>
    </rPh>
    <rPh sb="17" eb="18">
      <t>モドリ</t>
    </rPh>
    <phoneticPr fontId="1"/>
  </si>
  <si>
    <t>１-３　7:35-10:15</t>
    <phoneticPr fontId="1"/>
  </si>
  <si>
    <t>１-３ (休) 8:16-9:48</t>
    <phoneticPr fontId="1"/>
  </si>
  <si>
    <t>１-３ (休) 11:11-12:28</t>
    <phoneticPr fontId="1"/>
  </si>
  <si>
    <t>１-３ (休) 14:31-15:48</t>
    <phoneticPr fontId="1"/>
  </si>
  <si>
    <t>１-３ (休) 16:31-18:51</t>
    <phoneticPr fontId="1"/>
  </si>
  <si>
    <t>本    社</t>
  </si>
  <si>
    <t xml:space="preserve">  </t>
  </si>
  <si>
    <t>出勤時間</t>
    <rPh sb="0" eb="2">
      <t>シュッキン</t>
    </rPh>
    <rPh sb="2" eb="4">
      <t>ジカン</t>
    </rPh>
    <phoneticPr fontId="1"/>
  </si>
  <si>
    <t>１-７　11:35-12:45</t>
    <phoneticPr fontId="1"/>
  </si>
  <si>
    <t>１-７ (休) 11:35-12:45</t>
    <rPh sb="5" eb="6">
      <t>キュウ</t>
    </rPh>
    <phoneticPr fontId="1"/>
  </si>
  <si>
    <t>１-７ (休) 13:55-15:05</t>
    <rPh sb="5" eb="6">
      <t>キュウ</t>
    </rPh>
    <phoneticPr fontId="1"/>
  </si>
  <si>
    <t>1037</t>
    <phoneticPr fontId="1"/>
  </si>
  <si>
    <t>１-７ (休) 15:45-16:55</t>
    <rPh sb="5" eb="6">
      <t>キュウ</t>
    </rPh>
    <phoneticPr fontId="1"/>
  </si>
  <si>
    <t>１-７ (休) 18:40-19:55</t>
    <rPh sb="5" eb="6">
      <t>キュウ</t>
    </rPh>
    <phoneticPr fontId="1"/>
  </si>
  <si>
    <t>３-１　8:05-9:57</t>
    <phoneticPr fontId="1"/>
  </si>
  <si>
    <t>３-１　11:43-13:18</t>
    <phoneticPr fontId="1"/>
  </si>
  <si>
    <t>３-１　14:27-16:48</t>
    <phoneticPr fontId="1"/>
  </si>
  <si>
    <t>1087</t>
    <phoneticPr fontId="1"/>
  </si>
  <si>
    <t>３-１　17:30-19:17</t>
    <phoneticPr fontId="1"/>
  </si>
  <si>
    <t>３-１　20:35-21:31</t>
    <phoneticPr fontId="1"/>
  </si>
  <si>
    <t>３-１　20:35-22:06(回送戻)</t>
    <phoneticPr fontId="1"/>
  </si>
  <si>
    <t xml:space="preserve">３-１　全部+回送戻                 </t>
    <phoneticPr fontId="1"/>
  </si>
  <si>
    <t>1020     1087</t>
    <phoneticPr fontId="1"/>
  </si>
  <si>
    <t>３-４　6:18-8:28</t>
    <phoneticPr fontId="1"/>
  </si>
  <si>
    <t>４-１　7:16-9:34</t>
    <phoneticPr fontId="1"/>
  </si>
  <si>
    <t>1007</t>
    <phoneticPr fontId="1"/>
  </si>
  <si>
    <t>４-１　11:08-12:28</t>
    <phoneticPr fontId="1"/>
  </si>
  <si>
    <t>４-１　16:56-19:06</t>
    <phoneticPr fontId="1"/>
  </si>
  <si>
    <t>1007     1086</t>
    <phoneticPr fontId="1"/>
  </si>
  <si>
    <t>４-１　19:44-20:41</t>
    <phoneticPr fontId="1"/>
  </si>
  <si>
    <t>４-１　19:44-21:16(回送戻)</t>
    <phoneticPr fontId="1"/>
  </si>
  <si>
    <t>３-２　6:57-8:10</t>
    <phoneticPr fontId="1"/>
  </si>
  <si>
    <t>４-２　6:51-8:00</t>
    <phoneticPr fontId="1"/>
  </si>
  <si>
    <t>４-２　8:45-10:58</t>
    <phoneticPr fontId="1"/>
  </si>
  <si>
    <t>４-３　14:45-16:58</t>
    <phoneticPr fontId="1"/>
  </si>
  <si>
    <t>４-４　17:10-19:17</t>
    <phoneticPr fontId="1"/>
  </si>
  <si>
    <t>４-４　20:27-21:28</t>
    <phoneticPr fontId="1"/>
  </si>
  <si>
    <t>４-４　20:27-22:03(回送戻)</t>
    <phoneticPr fontId="1"/>
  </si>
  <si>
    <t>５-１　11:57-13:47</t>
    <phoneticPr fontId="1"/>
  </si>
  <si>
    <t>５-１　15:10-16:31</t>
    <phoneticPr fontId="1"/>
  </si>
  <si>
    <t>５-３　7:20-9:20</t>
    <phoneticPr fontId="1"/>
  </si>
  <si>
    <t>５-３　18:18-19:53</t>
    <phoneticPr fontId="1"/>
  </si>
  <si>
    <t>５-４　18:46-20:20</t>
    <phoneticPr fontId="1"/>
  </si>
  <si>
    <t>６-２　8:25-9:54</t>
    <phoneticPr fontId="1"/>
  </si>
  <si>
    <t>６-３　6:06-8:14</t>
    <phoneticPr fontId="1"/>
  </si>
  <si>
    <t>７-１　12:22-14:32</t>
    <phoneticPr fontId="1"/>
  </si>
  <si>
    <t>７-１　18:14-19:37</t>
    <phoneticPr fontId="1"/>
  </si>
  <si>
    <t>７-３　6:45-9:09</t>
    <phoneticPr fontId="1"/>
  </si>
  <si>
    <t>７-３　15:43-17:00</t>
    <phoneticPr fontId="1"/>
  </si>
  <si>
    <t>７-３ (休) 18:50-20:47</t>
    <rPh sb="5" eb="6">
      <t>キュウ</t>
    </rPh>
    <phoneticPr fontId="1"/>
  </si>
  <si>
    <t>７-４　6:40-8:25</t>
    <phoneticPr fontId="1"/>
  </si>
  <si>
    <t>８-１　8:15-10:02</t>
    <phoneticPr fontId="1"/>
  </si>
  <si>
    <t>８-１　11:54-13:28</t>
    <phoneticPr fontId="1"/>
  </si>
  <si>
    <t>８-１　14:08-15:31</t>
    <phoneticPr fontId="1"/>
  </si>
  <si>
    <t>８-３　10:22-12:32</t>
    <phoneticPr fontId="1"/>
  </si>
  <si>
    <t>８-３　15:48-18:02</t>
    <phoneticPr fontId="1"/>
  </si>
  <si>
    <t>８-４　13:05-14:45</t>
    <phoneticPr fontId="1"/>
  </si>
  <si>
    <t>８-５　6:47-7:38</t>
    <phoneticPr fontId="1"/>
  </si>
  <si>
    <t>８-５　6:29-7:38(回送行)</t>
    <phoneticPr fontId="1"/>
  </si>
  <si>
    <t>９-１　16:30-18:44</t>
    <phoneticPr fontId="1"/>
  </si>
  <si>
    <t>９-１　19:18-20:11</t>
    <phoneticPr fontId="1"/>
  </si>
  <si>
    <t>９-１　19:18-20:46(回送戻)</t>
    <phoneticPr fontId="1"/>
  </si>
  <si>
    <t>９-３　11:14-12:31</t>
    <phoneticPr fontId="1"/>
  </si>
  <si>
    <t>９-３　14:00-15:58</t>
    <phoneticPr fontId="1"/>
  </si>
  <si>
    <t>９-３　17:02-20:01</t>
    <phoneticPr fontId="1"/>
  </si>
  <si>
    <t>９-４　11:45-13:59</t>
    <phoneticPr fontId="1"/>
  </si>
  <si>
    <t>９-４　15:43-17:16</t>
    <phoneticPr fontId="1"/>
  </si>
  <si>
    <t>10-１　7:05-9:51</t>
    <phoneticPr fontId="1"/>
  </si>
  <si>
    <t>10-３　7:14-9:40</t>
    <phoneticPr fontId="1"/>
  </si>
  <si>
    <t>10-３　13:51-16:28</t>
    <phoneticPr fontId="1"/>
  </si>
  <si>
    <t>1032</t>
    <phoneticPr fontId="1"/>
  </si>
  <si>
    <t>1060</t>
    <phoneticPr fontId="1"/>
  </si>
  <si>
    <t>1050</t>
    <phoneticPr fontId="1"/>
  </si>
  <si>
    <t>10-３ (休) 8:40-9:40</t>
    <rPh sb="6" eb="7">
      <t>キュウ</t>
    </rPh>
    <phoneticPr fontId="1"/>
  </si>
  <si>
    <t>10-３ (休) 13:43-16:20</t>
    <phoneticPr fontId="1"/>
  </si>
  <si>
    <t>10-３ (休) 17:03-18:36</t>
    <phoneticPr fontId="1"/>
  </si>
  <si>
    <t>10-４　7:37-9:13</t>
    <phoneticPr fontId="1"/>
  </si>
  <si>
    <t>1023</t>
    <phoneticPr fontId="1"/>
  </si>
  <si>
    <t>10-４　20:18-21:08</t>
    <phoneticPr fontId="1"/>
  </si>
  <si>
    <t>10-４　20:18-21:43(回送戻)</t>
    <phoneticPr fontId="1"/>
  </si>
  <si>
    <t xml:space="preserve">２-１                          </t>
    <phoneticPr fontId="1"/>
  </si>
  <si>
    <t>明野　雅仁</t>
    <phoneticPr fontId="1"/>
  </si>
  <si>
    <t>1103</t>
  </si>
  <si>
    <t>1065</t>
  </si>
  <si>
    <t>1031</t>
  </si>
  <si>
    <t>中井　光男</t>
    <rPh sb="0" eb="2">
      <t>ナカイ</t>
    </rPh>
    <rPh sb="3" eb="5">
      <t>ミツオ</t>
    </rPh>
    <phoneticPr fontId="1"/>
  </si>
  <si>
    <t>428     1061</t>
    <phoneticPr fontId="1"/>
  </si>
  <si>
    <t>８-２　9:11-10:28</t>
    <phoneticPr fontId="1"/>
  </si>
  <si>
    <t>１-５　6:53-9:48</t>
    <phoneticPr fontId="1"/>
  </si>
  <si>
    <t>１-５　11:11-12:28</t>
    <phoneticPr fontId="1"/>
  </si>
  <si>
    <t>１-５　14:31-15:48</t>
    <phoneticPr fontId="1"/>
  </si>
  <si>
    <t>１-５　16:31-18:51</t>
    <phoneticPr fontId="1"/>
  </si>
  <si>
    <t>１-９　12:31-15:40</t>
    <phoneticPr fontId="1"/>
  </si>
  <si>
    <t>１-９　17:03-19:55</t>
    <phoneticPr fontId="1"/>
  </si>
  <si>
    <t>1060     1588</t>
    <phoneticPr fontId="1"/>
  </si>
  <si>
    <t>1588</t>
    <phoneticPr fontId="1"/>
  </si>
  <si>
    <t>１-９　7:27-9:00</t>
    <phoneticPr fontId="1"/>
  </si>
  <si>
    <t>１-９ (休) 8:00-9:00</t>
    <phoneticPr fontId="1"/>
  </si>
  <si>
    <t>１-９ (休) 9:51-11:08</t>
    <phoneticPr fontId="1"/>
  </si>
  <si>
    <t>１-９ (休) 12:31-13:48</t>
    <phoneticPr fontId="1"/>
  </si>
  <si>
    <t>１-９ (休) 14:23-15:40</t>
    <phoneticPr fontId="1"/>
  </si>
  <si>
    <t>1061</t>
    <phoneticPr fontId="1"/>
  </si>
  <si>
    <t>1060</t>
    <phoneticPr fontId="1"/>
  </si>
  <si>
    <t>６-１　6:14-8:27</t>
    <phoneticPr fontId="1"/>
  </si>
  <si>
    <t>６-５　9:12-10:31</t>
    <phoneticPr fontId="1"/>
  </si>
  <si>
    <t>８-３　6:35-8:37</t>
    <phoneticPr fontId="1"/>
  </si>
  <si>
    <t>９-３　6:48-8:41</t>
    <phoneticPr fontId="1"/>
  </si>
  <si>
    <t>1107</t>
    <phoneticPr fontId="1"/>
  </si>
  <si>
    <t>10-５　8:55-10:47</t>
    <phoneticPr fontId="1"/>
  </si>
  <si>
    <t>1061    1060    1050</t>
    <phoneticPr fontId="1"/>
  </si>
  <si>
    <t>はみ ３　7:41-9:25</t>
    <phoneticPr fontId="1"/>
  </si>
  <si>
    <t>はみ ３　16:14-17:47</t>
    <phoneticPr fontId="1"/>
  </si>
  <si>
    <t>はみ ３　18:33-20:16</t>
    <phoneticPr fontId="1"/>
  </si>
  <si>
    <t>はみ ４　7:44-8:10</t>
    <phoneticPr fontId="1"/>
  </si>
  <si>
    <t>1053</t>
    <phoneticPr fontId="1"/>
  </si>
  <si>
    <t>はみ ４　15:28-17:44</t>
    <phoneticPr fontId="1"/>
  </si>
  <si>
    <t>はみ ４　19:00-20:58</t>
    <phoneticPr fontId="1"/>
  </si>
  <si>
    <t>407</t>
    <phoneticPr fontId="1"/>
  </si>
  <si>
    <t>406</t>
    <phoneticPr fontId="1"/>
  </si>
  <si>
    <t>２-４　11:30-14:00</t>
    <phoneticPr fontId="1"/>
  </si>
  <si>
    <t>２-６　11:33-14:00</t>
    <phoneticPr fontId="1"/>
  </si>
  <si>
    <t>建国記念の日</t>
  </si>
  <si>
    <t>天皇誕生日</t>
  </si>
  <si>
    <t>海の日</t>
  </si>
  <si>
    <t>敬老の日</t>
  </si>
  <si>
    <t>国民の休日</t>
  </si>
  <si>
    <t>文化の日</t>
  </si>
  <si>
    <t>山の</t>
  </si>
  <si>
    <t>スポーツの</t>
    <phoneticPr fontId="1"/>
  </si>
  <si>
    <t>勤労感謝の</t>
    <phoneticPr fontId="1"/>
  </si>
  <si>
    <t>令和8年(2026年)</t>
    <rPh sb="3" eb="4">
      <t>ネン</t>
    </rPh>
    <phoneticPr fontId="1"/>
  </si>
  <si>
    <t>桟敷　健太</t>
    <rPh sb="0" eb="2">
      <t>サジキ</t>
    </rPh>
    <rPh sb="3" eb="5">
      <t>ケンタ</t>
    </rPh>
    <phoneticPr fontId="1"/>
  </si>
  <si>
    <t>桟敷　秀夫</t>
    <rPh sb="0" eb="2">
      <t>サジキ</t>
    </rPh>
    <rPh sb="3" eb="5">
      <t>ヒデオ</t>
    </rPh>
    <phoneticPr fontId="1"/>
  </si>
  <si>
    <t>月</t>
    <rPh sb="0" eb="1">
      <t>ツキ</t>
    </rPh>
    <phoneticPr fontId="1"/>
  </si>
  <si>
    <t xml:space="preserve">社実 １                     </t>
    <rPh sb="0" eb="1">
      <t>シャ</t>
    </rPh>
    <rPh sb="1" eb="2">
      <t>ジツ</t>
    </rPh>
    <phoneticPr fontId="1"/>
  </si>
  <si>
    <t xml:space="preserve">社実 ２                     </t>
    <rPh sb="0" eb="1">
      <t>シャ</t>
    </rPh>
    <rPh sb="1" eb="2">
      <t>ジツ</t>
    </rPh>
    <phoneticPr fontId="1"/>
  </si>
  <si>
    <t>405</t>
    <phoneticPr fontId="1"/>
  </si>
  <si>
    <t>404</t>
    <phoneticPr fontId="1"/>
  </si>
  <si>
    <t>社実 １　10:00-11:57</t>
    <rPh sb="0" eb="1">
      <t>シャ</t>
    </rPh>
    <rPh sb="1" eb="2">
      <t>ジツ</t>
    </rPh>
    <phoneticPr fontId="1"/>
  </si>
  <si>
    <t>社実 １　14:00-15:57</t>
    <rPh sb="0" eb="1">
      <t>シャ</t>
    </rPh>
    <rPh sb="1" eb="2">
      <t>ジツ</t>
    </rPh>
    <phoneticPr fontId="1"/>
  </si>
  <si>
    <t>社実 １　18:00-19:57</t>
    <rPh sb="0" eb="1">
      <t>シャ</t>
    </rPh>
    <rPh sb="1" eb="2">
      <t>ジツ</t>
    </rPh>
    <phoneticPr fontId="1"/>
  </si>
  <si>
    <t>社実 ２　12:00-13:57</t>
    <rPh sb="0" eb="1">
      <t>シャ</t>
    </rPh>
    <rPh sb="1" eb="2">
      <t>ジツ</t>
    </rPh>
    <phoneticPr fontId="1"/>
  </si>
  <si>
    <t>社実 ２　16:00-17:57</t>
    <rPh sb="0" eb="1">
      <t>シャ</t>
    </rPh>
    <rPh sb="1" eb="2">
      <t>ジツ</t>
    </rPh>
    <phoneticPr fontId="1"/>
  </si>
  <si>
    <t>山本　喜咲</t>
    <rPh sb="0" eb="2">
      <t>ヤマモト</t>
    </rPh>
    <rPh sb="3" eb="4">
      <t>キ</t>
    </rPh>
    <rPh sb="4" eb="5">
      <t>サ</t>
    </rPh>
    <phoneticPr fontId="1"/>
  </si>
  <si>
    <t>３-２　9:14-11:12</t>
    <phoneticPr fontId="1"/>
  </si>
  <si>
    <t>３-３　15:08-17:00</t>
    <phoneticPr fontId="1"/>
  </si>
  <si>
    <t>３-４　14:47-16:46</t>
    <phoneticPr fontId="1"/>
  </si>
  <si>
    <t>３-５　8:12-10:42</t>
    <phoneticPr fontId="1"/>
  </si>
  <si>
    <t>４-１　14:13-16:01</t>
    <phoneticPr fontId="1"/>
  </si>
  <si>
    <t>４-４　13:42-15:54</t>
    <phoneticPr fontId="1"/>
  </si>
  <si>
    <t>５-３　12:37-14:50</t>
    <phoneticPr fontId="1"/>
  </si>
  <si>
    <t>５-４　6:31-8:17</t>
    <phoneticPr fontId="1"/>
  </si>
  <si>
    <t>５-４　10:27-12:07</t>
    <phoneticPr fontId="1"/>
  </si>
  <si>
    <t>５-４　13:14-14:31</t>
    <phoneticPr fontId="1"/>
  </si>
  <si>
    <t>６-４　6:44-8:24</t>
    <phoneticPr fontId="1"/>
  </si>
  <si>
    <t>６-４　10:14-11:31</t>
    <phoneticPr fontId="1"/>
  </si>
  <si>
    <t>６-４　13:00-14:58</t>
    <phoneticPr fontId="1"/>
  </si>
  <si>
    <t>７-１　9:43-11:00</t>
    <phoneticPr fontId="1"/>
  </si>
  <si>
    <t>1050     1083</t>
    <phoneticPr fontId="1"/>
  </si>
  <si>
    <t>７-３　11:36-13:31</t>
    <phoneticPr fontId="1"/>
  </si>
  <si>
    <t>７-３　18:09-20:47</t>
    <phoneticPr fontId="1"/>
  </si>
  <si>
    <t>７-４　10:34-13:30</t>
    <phoneticPr fontId="1"/>
  </si>
  <si>
    <t>８-４　7:32-9:25</t>
    <phoneticPr fontId="1"/>
  </si>
  <si>
    <t>８-４　11:03-12:20</t>
    <phoneticPr fontId="1"/>
  </si>
  <si>
    <t>1057     1050     1056</t>
    <phoneticPr fontId="1"/>
  </si>
  <si>
    <t>1057    1050     1056</t>
    <phoneticPr fontId="1"/>
  </si>
  <si>
    <t>９-４　6:42-9:27</t>
    <phoneticPr fontId="1"/>
  </si>
  <si>
    <t>2:49</t>
    <phoneticPr fontId="1"/>
  </si>
  <si>
    <t>2:58</t>
    <phoneticPr fontId="1"/>
  </si>
  <si>
    <t>10-１　15:42-18:34</t>
    <phoneticPr fontId="1"/>
  </si>
  <si>
    <t>10-３　17:22-19:57</t>
    <phoneticPr fontId="1"/>
  </si>
  <si>
    <t>はみ ３　9:57-12:10</t>
    <phoneticPr fontId="1"/>
  </si>
  <si>
    <t>２-１　5:48-7:45</t>
    <phoneticPr fontId="1"/>
  </si>
  <si>
    <t>２-１　5:48-9:20</t>
    <phoneticPr fontId="1"/>
  </si>
  <si>
    <t>２-１　13:23-15:30</t>
    <phoneticPr fontId="1"/>
  </si>
  <si>
    <t>２-１　17:40-20:03</t>
    <phoneticPr fontId="1"/>
  </si>
  <si>
    <t>２-２　11:27-13:40</t>
    <phoneticPr fontId="1"/>
  </si>
  <si>
    <t>２-３　13:26-15:35</t>
    <phoneticPr fontId="1"/>
  </si>
  <si>
    <t>２-３　17:43-20:03</t>
    <phoneticPr fontId="1"/>
  </si>
  <si>
    <t>２-４　19:05-20:55</t>
    <phoneticPr fontId="1"/>
  </si>
  <si>
    <t>２-６　7:55-10:05</t>
    <phoneticPr fontId="1"/>
  </si>
  <si>
    <t>２-６　15:18-17:18</t>
    <phoneticPr fontId="1"/>
  </si>
  <si>
    <t xml:space="preserve">R-19                      </t>
    <phoneticPr fontId="1"/>
  </si>
  <si>
    <t xml:space="preserve">R-20                      </t>
    <phoneticPr fontId="1"/>
  </si>
  <si>
    <r>
      <t>花田　</t>
    </r>
    <r>
      <rPr>
        <sz val="11"/>
        <color theme="1"/>
        <rFont val="ＭＳ Ｐゴシック"/>
        <family val="3"/>
        <charset val="128"/>
        <scheme val="minor"/>
      </rPr>
      <t>美也</t>
    </r>
    <rPh sb="0" eb="2">
      <t>ハナダ</t>
    </rPh>
    <rPh sb="3" eb="5">
      <t>ミヤ</t>
    </rPh>
    <phoneticPr fontId="1"/>
  </si>
  <si>
    <t>17</t>
  </si>
  <si>
    <t xml:space="preserve">循環10                     </t>
    <phoneticPr fontId="1"/>
  </si>
  <si>
    <t>１-10　7:19-8:56(回送戻)</t>
    <phoneticPr fontId="1"/>
  </si>
  <si>
    <t>１-10　10:34-11:59(回送戻)</t>
    <rPh sb="17" eb="19">
      <t>カイソウ</t>
    </rPh>
    <rPh sb="19" eb="20">
      <t>モド</t>
    </rPh>
    <phoneticPr fontId="1"/>
  </si>
  <si>
    <t>１-10　16:18-19:13(回送行)</t>
    <rPh sb="17" eb="19">
      <t>カイソウ</t>
    </rPh>
    <rPh sb="19" eb="20">
      <t>イ</t>
    </rPh>
    <phoneticPr fontId="1"/>
  </si>
  <si>
    <t>１-10 (休) 9:57-12:06</t>
    <phoneticPr fontId="1"/>
  </si>
  <si>
    <t>１-10 (休) 13:11-14:28</t>
    <phoneticPr fontId="1"/>
  </si>
  <si>
    <t>１-10 (休) 15:11-16:28</t>
    <phoneticPr fontId="1"/>
  </si>
  <si>
    <t xml:space="preserve">１-10                       </t>
    <phoneticPr fontId="1"/>
  </si>
  <si>
    <t xml:space="preserve">循環10                     </t>
    <phoneticPr fontId="1"/>
  </si>
  <si>
    <t xml:space="preserve">循環 ９                     </t>
    <phoneticPr fontId="1"/>
  </si>
  <si>
    <t xml:space="preserve">循環 ８                     </t>
    <phoneticPr fontId="1"/>
  </si>
  <si>
    <t xml:space="preserve">循環 ７                     </t>
    <phoneticPr fontId="1"/>
  </si>
  <si>
    <t xml:space="preserve">循環 ６                    </t>
    <phoneticPr fontId="1"/>
  </si>
  <si>
    <t xml:space="preserve">循環 ５                    </t>
    <phoneticPr fontId="1"/>
  </si>
  <si>
    <t xml:space="preserve">循環 ４                    </t>
    <phoneticPr fontId="1"/>
  </si>
  <si>
    <t xml:space="preserve">循環 ３                     </t>
    <phoneticPr fontId="1"/>
  </si>
  <si>
    <t xml:space="preserve">循環 ２                     </t>
    <phoneticPr fontId="1"/>
  </si>
  <si>
    <t xml:space="preserve">循環 １                    </t>
    <phoneticPr fontId="1"/>
  </si>
  <si>
    <t>439</t>
    <phoneticPr fontId="1"/>
  </si>
  <si>
    <t>２-２　19:45-22:35</t>
    <phoneticPr fontId="1"/>
  </si>
  <si>
    <t>２-２　20:45-22:35</t>
    <phoneticPr fontId="1"/>
  </si>
  <si>
    <t>２-３　9:32-12:00</t>
    <phoneticPr fontId="1"/>
  </si>
  <si>
    <t xml:space="preserve">空港 発  13:20～              </t>
    <rPh sb="0" eb="2">
      <t>クウコウ</t>
    </rPh>
    <rPh sb="3" eb="4">
      <t>ハッ</t>
    </rPh>
    <phoneticPr fontId="1"/>
  </si>
  <si>
    <t xml:space="preserve">空港 発  14:35～              </t>
    <rPh sb="0" eb="2">
      <t>クウコウ</t>
    </rPh>
    <rPh sb="3" eb="4">
      <t>ハッ</t>
    </rPh>
    <phoneticPr fontId="1"/>
  </si>
  <si>
    <t xml:space="preserve">空港 発  15:45～              </t>
    <rPh sb="0" eb="2">
      <t>クウコウ</t>
    </rPh>
    <rPh sb="3" eb="4">
      <t>ハッ</t>
    </rPh>
    <phoneticPr fontId="1"/>
  </si>
  <si>
    <t xml:space="preserve">空港 発  17:15～              </t>
    <rPh sb="0" eb="2">
      <t>クウコウ</t>
    </rPh>
    <rPh sb="3" eb="4">
      <t>ハッ</t>
    </rPh>
    <phoneticPr fontId="1"/>
  </si>
  <si>
    <t xml:space="preserve">空港 発  19:40～              </t>
    <rPh sb="0" eb="2">
      <t>クウコウ</t>
    </rPh>
    <rPh sb="3" eb="4">
      <t>ハッ</t>
    </rPh>
    <phoneticPr fontId="1"/>
  </si>
  <si>
    <t>↑ST基準</t>
    <rPh sb="3" eb="5">
      <t>キジュン</t>
    </rPh>
    <phoneticPr fontId="1"/>
  </si>
  <si>
    <t>↑県着基準</t>
    <rPh sb="1" eb="2">
      <t>ケン</t>
    </rPh>
    <rPh sb="2" eb="3">
      <t>チャク</t>
    </rPh>
    <rPh sb="3" eb="5">
      <t>キジュン</t>
    </rPh>
    <phoneticPr fontId="1"/>
  </si>
  <si>
    <t>８-５　8:03-10:01</t>
    <phoneticPr fontId="1"/>
  </si>
  <si>
    <t>２-１　9:38-11:55</t>
    <phoneticPr fontId="1"/>
  </si>
  <si>
    <t>２-２　15:15-17:33</t>
    <phoneticPr fontId="1"/>
  </si>
  <si>
    <t>２-４　7:58-10:15</t>
    <phoneticPr fontId="1"/>
  </si>
  <si>
    <t>２-４　15:12-17:33</t>
    <phoneticPr fontId="1"/>
  </si>
  <si>
    <t xml:space="preserve">R-21                      </t>
    <phoneticPr fontId="1"/>
  </si>
  <si>
    <t xml:space="preserve">R-22                      </t>
    <phoneticPr fontId="1"/>
  </si>
  <si>
    <t>泉　健太郎</t>
    <rPh sb="0" eb="1">
      <t>イズミ</t>
    </rPh>
    <rPh sb="2" eb="5">
      <t>ケンタロウ</t>
    </rPh>
    <phoneticPr fontId="1"/>
  </si>
  <si>
    <t xml:space="preserve">はみ ７                      </t>
    <phoneticPr fontId="1"/>
  </si>
  <si>
    <t>はみ ７　9:43-12:37</t>
    <phoneticPr fontId="1"/>
  </si>
  <si>
    <t>はみ ７　14:03-15:49</t>
    <phoneticPr fontId="1"/>
  </si>
  <si>
    <t>はみ ７　17:12-20:15</t>
    <phoneticPr fontId="1"/>
  </si>
  <si>
    <t>1110</t>
    <phoneticPr fontId="1"/>
  </si>
  <si>
    <t>1111</t>
    <phoneticPr fontId="1"/>
  </si>
  <si>
    <t>1112</t>
    <phoneticPr fontId="1"/>
  </si>
  <si>
    <t>1022    1061    1112</t>
    <phoneticPr fontId="1"/>
  </si>
  <si>
    <t>1113</t>
    <phoneticPr fontId="1"/>
  </si>
  <si>
    <t>1023     1113</t>
    <phoneticPr fontId="1"/>
  </si>
  <si>
    <t>1036     1106</t>
    <phoneticPr fontId="1"/>
  </si>
  <si>
    <t>1067     1061     1088</t>
    <phoneticPr fontId="1"/>
  </si>
  <si>
    <t>1053     1008</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</si>
</sst>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m/d;@"/>
    <numFmt numFmtId="177" formatCode="[$-F800]dddd\,\ mmmm\ dd\,\ yyyy"/>
    <numFmt numFmtId="178" formatCode="h:mm;@"/>
    <numFmt numFmtId="179" formatCode="0.0_ "/>
    <numFmt numFmtId="180" formatCode="0.0_);[Red]\(0.0\)"/>
    <numFmt numFmtId="181" formatCode="aaa"/>
    <numFmt numFmtId="182" formatCode="yyyy/m/d;@"/>
  </numFmts>
  <fonts count="32">
    <font>
      <sz val="11"/>
      <color theme="1"/>
      <name val="ＭＳ Ｐゴシック"/>
      <family val="2"/>
      <charset val="128"/>
      <scheme val="minor"/>
    </font>
    <font>
      <sz val="6"/>
      <name val="ＭＳ Ｐゴシック"/>
      <family val="2"/>
      <charset val="128"/>
      <scheme val="minor"/>
    </font>
    <font>
      <i/>
      <sz val="11"/>
      <color theme="1"/>
      <name val="HGP楷書体"/>
      <family val="4"/>
      <charset val="128"/>
    </font>
    <font>
      <i/>
      <sz val="12"/>
      <color theme="1"/>
      <name val="HGP楷書体"/>
      <family val="4"/>
      <charset val="128"/>
    </font>
    <font>
      <b/>
      <sz val="11"/>
      <color theme="0"/>
      <name val="ＭＳ Ｐゴシック"/>
      <family val="2"/>
      <charset val="128"/>
      <scheme val="minor"/>
    </font>
    <font>
      <sz val="10"/>
      <color theme="1"/>
      <name val="Arial Unicode MS"/>
      <family val="2"/>
    </font>
    <font>
      <sz val="10"/>
      <color theme="1"/>
      <name val="ＭＳ Ｐゴシック"/>
      <family val="2"/>
      <charset val="128"/>
    </font>
    <font>
      <sz val="11"/>
      <color theme="1"/>
      <name val="ＭＳ Ｐゴシック"/>
      <family val="3"/>
      <charset val="128"/>
    </font>
    <font>
      <sz val="12"/>
      <color theme="1"/>
      <name val="HGP楷書体"/>
      <family val="4"/>
      <charset val="128"/>
    </font>
    <font>
      <sz val="11"/>
      <color theme="1"/>
      <name val="HGP楷書体"/>
      <family val="4"/>
      <charset val="128"/>
    </font>
    <font>
      <b/>
      <sz val="13.5"/>
      <color theme="1"/>
      <name val="ＭＳ Ｐゴシック"/>
      <family val="3"/>
      <charset val="128"/>
      <scheme val="minor"/>
    </font>
    <font>
      <sz val="11"/>
      <color theme="1"/>
      <name val="ＭＳ Ｐ明朝"/>
      <family val="1"/>
      <charset val="128"/>
    </font>
    <font>
      <sz val="12"/>
      <color theme="1"/>
      <name val="ＭＳ Ｐ明朝"/>
      <family val="1"/>
      <charset val="128"/>
    </font>
    <font>
      <sz val="11"/>
      <color rgb="FFFF0000"/>
      <name val="ＭＳ Ｐゴシック"/>
      <family val="2"/>
      <charset val="128"/>
      <scheme val="minor"/>
    </font>
    <font>
      <b/>
      <sz val="11"/>
      <color theme="1"/>
      <name val="ＭＳ Ｐゴシック"/>
      <family val="2"/>
      <charset val="128"/>
      <scheme val="minor"/>
    </font>
    <font>
      <sz val="8"/>
      <color theme="1"/>
      <name val="ＭＳ Ｐゴシック"/>
      <family val="2"/>
      <charset val="128"/>
      <scheme val="minor"/>
    </font>
    <font>
      <i/>
      <sz val="11"/>
      <color theme="0"/>
      <name val="HGP楷書体"/>
      <family val="4"/>
      <charset val="128"/>
    </font>
    <font>
      <i/>
      <sz val="11"/>
      <name val="HGP楷書体"/>
      <family val="4"/>
      <charset val="128"/>
    </font>
    <font>
      <i/>
      <sz val="11"/>
      <color theme="1"/>
      <name val="ＭＳ Ｐ明朝"/>
      <family val="1"/>
      <charset val="128"/>
    </font>
    <font>
      <i/>
      <sz val="12"/>
      <color theme="1"/>
      <name val="ＭＳ Ｐ明朝"/>
      <family val="1"/>
      <charset val="128"/>
    </font>
    <font>
      <i/>
      <sz val="18"/>
      <color theme="1"/>
      <name val="ＭＳ Ｐ明朝"/>
      <family val="1"/>
      <charset val="128"/>
    </font>
    <font>
      <i/>
      <sz val="14"/>
      <color theme="1"/>
      <name val="ＭＳ Ｐ明朝"/>
      <family val="1"/>
      <charset val="128"/>
    </font>
    <font>
      <i/>
      <sz val="10"/>
      <color theme="1"/>
      <name val="ＭＳ Ｐ明朝"/>
      <family val="1"/>
      <charset val="128"/>
    </font>
    <font>
      <i/>
      <sz val="9"/>
      <color theme="1"/>
      <name val="ＭＳ Ｐ明朝"/>
      <family val="1"/>
      <charset val="128"/>
    </font>
    <font>
      <b/>
      <sz val="16"/>
      <color rgb="FFFF0000"/>
      <name val="ＭＳ Ｐ明朝"/>
      <family val="1"/>
      <charset val="128"/>
    </font>
    <font>
      <i/>
      <sz val="13"/>
      <color theme="1"/>
      <name val="ＭＳ Ｐ明朝"/>
      <family val="1"/>
      <charset val="128"/>
    </font>
    <font>
      <sz val="11"/>
      <name val="HGP楷書体"/>
      <family val="4"/>
      <charset val="128"/>
    </font>
    <font>
      <i/>
      <sz val="8.5"/>
      <color theme="1"/>
      <name val="ＭＳ Ｐ明朝"/>
      <family val="1"/>
      <charset val="128"/>
    </font>
    <font>
      <sz val="12"/>
      <color theme="1"/>
      <name val="HGP楷書体"/>
      <family val="3"/>
      <charset val="128"/>
    </font>
    <font>
      <sz val="10"/>
      <color theme="1"/>
      <name val="ＭＳ Ｐゴシック"/>
      <family val="2"/>
      <charset val="128"/>
      <scheme val="minor"/>
    </font>
    <font>
      <sz val="9"/>
      <color theme="1"/>
      <name val="ＭＳ Ｐゴシック"/>
      <family val="2"/>
      <charset val="128"/>
      <scheme val="minor"/>
    </font>
    <font>
      <sz val="11"/>
      <color theme="1"/>
      <name val="ＭＳ Ｐゴシック"/>
      <family val="3"/>
      <charset val="128"/>
      <scheme val="minor"/>
    </font>
  </fonts>
  <fills count="13">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rgb="FFFFFF00"/>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theme="8" tint="0.59996337778862885"/>
        <bgColor indexed="64"/>
      </patternFill>
    </fill>
    <fill>
      <patternFill patternType="solid">
        <fgColor theme="4" tint="0.79998168889431442"/>
        <bgColor indexed="64"/>
      </patternFill>
    </fill>
    <fill>
      <patternFill patternType="solid">
        <fgColor theme="9" tint="0.39994506668294322"/>
        <bgColor indexed="64"/>
      </patternFill>
    </fill>
    <fill>
      <patternFill patternType="solid">
        <fgColor rgb="FFFFFF00"/>
        <bgColor theme="4" tint="0.79998168889431442"/>
      </patternFill>
    </fill>
  </fills>
  <borders count="8">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style="hair">
        <color auto="1"/>
      </left>
      <right style="hair">
        <color auto="1"/>
      </right>
      <top style="hair">
        <color auto="1"/>
      </top>
      <bottom style="hair">
        <color auto="1"/>
      </bottom>
      <diagonal/>
    </border>
    <border>
      <left/>
      <right/>
      <top/>
      <bottom style="medium">
        <color rgb="FFFFC000"/>
      </bottom>
      <diagonal/>
    </border>
    <border>
      <left style="thin">
        <color theme="4" tint="0.39997558519241921"/>
      </left>
      <right/>
      <top/>
      <bottom/>
      <diagonal/>
    </border>
  </borders>
  <cellStyleXfs count="1">
    <xf numFmtId="0" fontId="0" fillId="0" borderId="0">
      <alignment vertical="center"/>
    </xf>
  </cellStyleXfs>
  <cellXfs count="194">
    <xf numFmtId="0" fontId="0" fillId="0" borderId="0" xfId="0">
      <alignment vertical="center"/>
    </xf>
    <xf numFmtId="0" fontId="2" fillId="0" borderId="0" xfId="0" applyFont="1">
      <alignment vertical="center"/>
    </xf>
    <xf numFmtId="56" fontId="0" fillId="0" borderId="0" xfId="0" quotePrefix="1" applyNumberFormat="1">
      <alignment vertical="center"/>
    </xf>
    <xf numFmtId="0" fontId="0" fillId="0" borderId="1" xfId="0" applyBorder="1">
      <alignment vertical="center"/>
    </xf>
    <xf numFmtId="0" fontId="0" fillId="0" borderId="2" xfId="0" applyBorder="1">
      <alignment vertical="center"/>
    </xf>
    <xf numFmtId="14" fontId="5" fillId="0" borderId="0" xfId="0" applyNumberFormat="1" applyFont="1">
      <alignment vertical="center"/>
    </xf>
    <xf numFmtId="0" fontId="4" fillId="2" borderId="3" xfId="0" applyFont="1" applyFill="1" applyBorder="1">
      <alignment vertical="center"/>
    </xf>
    <xf numFmtId="0" fontId="4" fillId="2" borderId="4" xfId="0" applyFont="1" applyFill="1" applyBorder="1">
      <alignment vertical="center"/>
    </xf>
    <xf numFmtId="0" fontId="0" fillId="3" borderId="3" xfId="0" applyFill="1" applyBorder="1">
      <alignment vertical="center"/>
    </xf>
    <xf numFmtId="0" fontId="0" fillId="3" borderId="4" xfId="0" applyFill="1" applyBorder="1">
      <alignment vertical="center"/>
    </xf>
    <xf numFmtId="0" fontId="0" fillId="0" borderId="3" xfId="0" applyBorder="1">
      <alignment vertical="center"/>
    </xf>
    <xf numFmtId="0" fontId="0" fillId="0" borderId="4" xfId="0" applyBorder="1">
      <alignment vertical="center"/>
    </xf>
    <xf numFmtId="49" fontId="0" fillId="3" borderId="4" xfId="0" applyNumberFormat="1" applyFill="1" applyBorder="1">
      <alignment vertical="center"/>
    </xf>
    <xf numFmtId="49" fontId="0" fillId="0" borderId="4" xfId="0" applyNumberFormat="1" applyBorder="1">
      <alignment vertical="center"/>
    </xf>
    <xf numFmtId="49" fontId="0" fillId="0" borderId="2" xfId="0" applyNumberFormat="1" applyBorder="1">
      <alignment vertical="center"/>
    </xf>
    <xf numFmtId="49" fontId="0" fillId="0" borderId="0" xfId="0" applyNumberFormat="1">
      <alignment vertical="center"/>
    </xf>
    <xf numFmtId="177" fontId="6" fillId="0" borderId="0" xfId="0" applyNumberFormat="1" applyFont="1">
      <alignment vertical="center"/>
    </xf>
    <xf numFmtId="14" fontId="3" fillId="0" borderId="0" xfId="0" quotePrefix="1" applyNumberFormat="1" applyFont="1" applyAlignment="1"/>
    <xf numFmtId="0" fontId="7" fillId="0" borderId="0" xfId="0" applyFont="1">
      <alignment vertical="center"/>
    </xf>
    <xf numFmtId="14" fontId="7" fillId="0" borderId="0" xfId="0" applyNumberFormat="1" applyFont="1" applyAlignment="1"/>
    <xf numFmtId="0" fontId="10" fillId="0" borderId="0" xfId="0" applyFont="1">
      <alignment vertical="center"/>
    </xf>
    <xf numFmtId="14" fontId="0" fillId="0" borderId="0" xfId="0" applyNumberFormat="1" applyAlignment="1">
      <alignment vertical="center" wrapText="1"/>
    </xf>
    <xf numFmtId="0" fontId="0" fillId="0" borderId="0" xfId="0" applyAlignment="1">
      <alignment vertical="center" wrapText="1"/>
    </xf>
    <xf numFmtId="0" fontId="0" fillId="4" borderId="0" xfId="0" applyFill="1" applyAlignment="1">
      <alignment horizontal="center" vertical="center"/>
    </xf>
    <xf numFmtId="49" fontId="0" fillId="3" borderId="0" xfId="0" applyNumberFormat="1" applyFill="1">
      <alignment vertical="center"/>
    </xf>
    <xf numFmtId="0" fontId="9" fillId="0" borderId="0" xfId="0" quotePrefix="1" applyFont="1" applyAlignment="1">
      <alignment horizontal="right" vertical="center"/>
    </xf>
    <xf numFmtId="56" fontId="11" fillId="0" borderId="0" xfId="0" quotePrefix="1" applyNumberFormat="1" applyFont="1" applyAlignment="1">
      <alignment horizontal="right" vertical="center"/>
    </xf>
    <xf numFmtId="0" fontId="0" fillId="0" borderId="0" xfId="0" applyAlignment="1">
      <alignment horizontal="center" vertical="center"/>
    </xf>
    <xf numFmtId="49" fontId="0" fillId="0" borderId="0" xfId="0" applyNumberFormat="1" applyAlignment="1">
      <alignment horizontal="right" vertical="center"/>
    </xf>
    <xf numFmtId="49" fontId="0" fillId="0" borderId="0" xfId="0" quotePrefix="1" applyNumberFormat="1" applyAlignment="1">
      <alignment horizontal="right" vertical="center"/>
    </xf>
    <xf numFmtId="0" fontId="0" fillId="0" borderId="0" xfId="0" applyAlignment="1">
      <alignment horizontal="right" vertical="center"/>
    </xf>
    <xf numFmtId="20" fontId="0" fillId="0" borderId="0" xfId="0" applyNumberFormat="1" applyAlignment="1">
      <alignment horizontal="right" vertical="center"/>
    </xf>
    <xf numFmtId="49" fontId="0" fillId="0" borderId="0" xfId="0" quotePrefix="1" applyNumberFormat="1" applyAlignment="1">
      <alignment horizontal="center" vertical="center"/>
    </xf>
    <xf numFmtId="14" fontId="12" fillId="0" borderId="0" xfId="0" quotePrefix="1" applyNumberFormat="1" applyFont="1" applyAlignment="1"/>
    <xf numFmtId="56" fontId="9" fillId="0" borderId="0" xfId="0" quotePrefix="1" applyNumberFormat="1" applyFont="1">
      <alignment vertical="center"/>
    </xf>
    <xf numFmtId="0" fontId="7" fillId="0" borderId="0" xfId="0" quotePrefix="1" applyFont="1" applyAlignment="1">
      <alignment horizontal="left" vertical="center"/>
    </xf>
    <xf numFmtId="20" fontId="0" fillId="0" borderId="0" xfId="0" applyNumberFormat="1">
      <alignment vertical="center"/>
    </xf>
    <xf numFmtId="178" fontId="0" fillId="0" borderId="0" xfId="0" applyNumberFormat="1">
      <alignment vertical="center"/>
    </xf>
    <xf numFmtId="178" fontId="0" fillId="0" borderId="0" xfId="0" applyNumberFormat="1" applyAlignment="1">
      <alignment horizontal="right" vertical="center"/>
    </xf>
    <xf numFmtId="179" fontId="0" fillId="0" borderId="0" xfId="0" applyNumberFormat="1">
      <alignment vertical="center"/>
    </xf>
    <xf numFmtId="179" fontId="0" fillId="0" borderId="0" xfId="0" applyNumberFormat="1" applyAlignment="1">
      <alignment horizontal="right" vertical="center"/>
    </xf>
    <xf numFmtId="14" fontId="3" fillId="0" borderId="0" xfId="0" applyNumberFormat="1" applyFont="1" applyAlignment="1"/>
    <xf numFmtId="0" fontId="11" fillId="0" borderId="0" xfId="0" applyFont="1">
      <alignment vertical="center"/>
    </xf>
    <xf numFmtId="0" fontId="9" fillId="5" borderId="0" xfId="0" applyFont="1" applyFill="1" applyAlignment="1">
      <alignment horizontal="center" vertical="center"/>
    </xf>
    <xf numFmtId="56" fontId="11" fillId="0" borderId="0" xfId="0" quotePrefix="1" applyNumberFormat="1" applyFont="1" applyAlignment="1">
      <alignment horizontal="left" vertical="center"/>
    </xf>
    <xf numFmtId="0" fontId="11" fillId="0" borderId="0" xfId="0" applyFont="1" applyAlignment="1">
      <alignment horizontal="center" vertical="center"/>
    </xf>
    <xf numFmtId="0" fontId="11" fillId="6" borderId="0" xfId="0" applyFont="1" applyFill="1" applyAlignment="1">
      <alignment horizontal="center" vertical="center"/>
    </xf>
    <xf numFmtId="56" fontId="11" fillId="0" borderId="0" xfId="0" quotePrefix="1" applyNumberFormat="1" applyFont="1">
      <alignment vertical="center"/>
    </xf>
    <xf numFmtId="49" fontId="0" fillId="0" borderId="0" xfId="0" applyNumberFormat="1" applyAlignment="1">
      <alignment horizontal="center" vertical="center"/>
    </xf>
    <xf numFmtId="0" fontId="9" fillId="0" borderId="0" xfId="0" applyFont="1" applyAlignment="1">
      <alignment horizontal="center" vertical="center"/>
    </xf>
    <xf numFmtId="0" fontId="0" fillId="0" borderId="0" xfId="0" quotePrefix="1" applyAlignment="1">
      <alignment horizontal="right" vertical="center"/>
    </xf>
    <xf numFmtId="178" fontId="6" fillId="0" borderId="0" xfId="0" applyNumberFormat="1" applyFont="1">
      <alignment vertical="center"/>
    </xf>
    <xf numFmtId="178" fontId="0" fillId="0" borderId="2" xfId="0" applyNumberFormat="1" applyBorder="1">
      <alignment vertical="center"/>
    </xf>
    <xf numFmtId="178" fontId="0" fillId="0" borderId="0" xfId="0" applyNumberFormat="1" applyAlignment="1">
      <alignment horizontal="center" vertical="center"/>
    </xf>
    <xf numFmtId="0" fontId="6" fillId="0" borderId="0" xfId="0" applyFont="1">
      <alignment vertical="center"/>
    </xf>
    <xf numFmtId="20" fontId="6" fillId="0" borderId="0" xfId="0" applyNumberFormat="1" applyFont="1">
      <alignment vertical="center"/>
    </xf>
    <xf numFmtId="20" fontId="0" fillId="0" borderId="2" xfId="0" applyNumberFormat="1" applyBorder="1">
      <alignment vertical="center"/>
    </xf>
    <xf numFmtId="20" fontId="0" fillId="0" borderId="0" xfId="0" applyNumberFormat="1" applyAlignment="1">
      <alignment horizontal="center" vertical="center"/>
    </xf>
    <xf numFmtId="49" fontId="6" fillId="0" borderId="0" xfId="0" applyNumberFormat="1" applyFont="1">
      <alignment vertical="center"/>
    </xf>
    <xf numFmtId="56" fontId="9" fillId="0" borderId="0" xfId="0" quotePrefix="1" applyNumberFormat="1" applyFont="1" applyAlignment="1">
      <alignment horizontal="left" vertical="center"/>
    </xf>
    <xf numFmtId="178" fontId="2" fillId="0" borderId="0" xfId="0" applyNumberFormat="1" applyFont="1" applyAlignment="1">
      <alignment horizontal="right" vertical="center"/>
    </xf>
    <xf numFmtId="0" fontId="0" fillId="0" borderId="0" xfId="0" applyAlignment="1">
      <alignment horizontal="center" vertical="center" wrapText="1" shrinkToFit="1"/>
    </xf>
    <xf numFmtId="14" fontId="12" fillId="5" borderId="0" xfId="0" quotePrefix="1" applyNumberFormat="1" applyFont="1" applyFill="1" applyAlignment="1"/>
    <xf numFmtId="178" fontId="11" fillId="0" borderId="0" xfId="0" applyNumberFormat="1" applyFont="1">
      <alignment vertical="center"/>
    </xf>
    <xf numFmtId="0" fontId="7" fillId="5" borderId="0" xfId="0" quotePrefix="1" applyFont="1" applyFill="1">
      <alignment vertical="center"/>
    </xf>
    <xf numFmtId="0" fontId="12" fillId="0" borderId="0" xfId="0" applyFont="1">
      <alignment vertical="center"/>
    </xf>
    <xf numFmtId="14" fontId="0" fillId="0" borderId="0" xfId="0" applyNumberFormat="1">
      <alignment vertical="center"/>
    </xf>
    <xf numFmtId="178" fontId="0" fillId="4" borderId="0" xfId="0" applyNumberFormat="1" applyFill="1">
      <alignment vertical="center"/>
    </xf>
    <xf numFmtId="0" fontId="9" fillId="0" borderId="0" xfId="0" applyFont="1">
      <alignment vertical="center"/>
    </xf>
    <xf numFmtId="0" fontId="0" fillId="4" borderId="0" xfId="0" applyFill="1">
      <alignment vertical="center"/>
    </xf>
    <xf numFmtId="0" fontId="0" fillId="8" borderId="0" xfId="0" applyFill="1">
      <alignment vertical="center"/>
    </xf>
    <xf numFmtId="0" fontId="13" fillId="0" borderId="0" xfId="0" applyFont="1" applyAlignment="1">
      <alignment horizontal="center" vertical="center"/>
    </xf>
    <xf numFmtId="180" fontId="0" fillId="0" borderId="0" xfId="0" applyNumberFormat="1" applyAlignment="1">
      <alignment horizontal="right" vertical="center"/>
    </xf>
    <xf numFmtId="179" fontId="0" fillId="0" borderId="0" xfId="0" quotePrefix="1" applyNumberFormat="1" applyAlignment="1">
      <alignment horizontal="right" vertical="center"/>
    </xf>
    <xf numFmtId="0" fontId="13" fillId="0" borderId="0" xfId="0" applyFont="1" applyAlignment="1">
      <alignment horizontal="right" vertical="center"/>
    </xf>
    <xf numFmtId="0" fontId="0" fillId="0" borderId="0" xfId="0" applyAlignment="1">
      <alignment vertical="center" shrinkToFit="1"/>
    </xf>
    <xf numFmtId="0" fontId="14" fillId="0" borderId="0" xfId="0" applyFont="1">
      <alignment vertical="center"/>
    </xf>
    <xf numFmtId="181" fontId="0" fillId="0" borderId="0" xfId="0" applyNumberFormat="1">
      <alignment vertical="center"/>
    </xf>
    <xf numFmtId="0" fontId="15" fillId="0" borderId="0" xfId="0" applyFont="1">
      <alignment vertical="center"/>
    </xf>
    <xf numFmtId="49" fontId="0" fillId="0" borderId="0" xfId="0" quotePrefix="1" applyNumberFormat="1">
      <alignment vertical="center"/>
    </xf>
    <xf numFmtId="0" fontId="0" fillId="0" borderId="0" xfId="0" quotePrefix="1">
      <alignment vertical="center"/>
    </xf>
    <xf numFmtId="0" fontId="11" fillId="4" borderId="0" xfId="0" applyFont="1" applyFill="1" applyAlignment="1">
      <alignment horizontal="center" vertical="center"/>
    </xf>
    <xf numFmtId="0" fontId="11" fillId="5" borderId="0" xfId="0" applyFont="1" applyFill="1" applyAlignment="1">
      <alignment horizontal="center" vertical="center"/>
    </xf>
    <xf numFmtId="0" fontId="11" fillId="9" borderId="0" xfId="0" applyFont="1" applyFill="1" applyAlignment="1">
      <alignment horizontal="center" vertical="center"/>
    </xf>
    <xf numFmtId="0" fontId="0" fillId="3" borderId="0" xfId="0" applyFill="1">
      <alignment vertical="center"/>
    </xf>
    <xf numFmtId="0" fontId="7" fillId="0" borderId="0" xfId="0" quotePrefix="1" applyFont="1">
      <alignment vertical="center"/>
    </xf>
    <xf numFmtId="180" fontId="0" fillId="0" borderId="0" xfId="0" applyNumberFormat="1">
      <alignment vertical="center"/>
    </xf>
    <xf numFmtId="181" fontId="0" fillId="0" borderId="0" xfId="0" applyNumberFormat="1" applyAlignment="1">
      <alignment horizontal="right" vertical="center"/>
    </xf>
    <xf numFmtId="0" fontId="0" fillId="4" borderId="0" xfId="0" applyFill="1" applyAlignment="1">
      <alignment horizontal="right" vertical="center"/>
    </xf>
    <xf numFmtId="179" fontId="0" fillId="9" borderId="0" xfId="0" applyNumberFormat="1" applyFill="1" applyAlignment="1">
      <alignment horizontal="right" vertical="center"/>
    </xf>
    <xf numFmtId="179" fontId="0" fillId="6" borderId="0" xfId="0" applyNumberFormat="1" applyFill="1" applyAlignment="1">
      <alignment horizontal="right" vertical="center"/>
    </xf>
    <xf numFmtId="0" fontId="16" fillId="0" borderId="0" xfId="0" applyFont="1" applyAlignment="1">
      <alignment horizontal="right" vertical="center"/>
    </xf>
    <xf numFmtId="0" fontId="16" fillId="0" borderId="0" xfId="0" applyFont="1">
      <alignment vertical="center"/>
    </xf>
    <xf numFmtId="178" fontId="7" fillId="0" borderId="0" xfId="0" applyNumberFormat="1" applyFont="1">
      <alignment vertical="center"/>
    </xf>
    <xf numFmtId="180" fontId="0" fillId="0" borderId="5" xfId="0" applyNumberFormat="1" applyBorder="1">
      <alignment vertical="center"/>
    </xf>
    <xf numFmtId="179" fontId="0" fillId="0" borderId="5" xfId="0" applyNumberFormat="1" applyBorder="1">
      <alignment vertical="center"/>
    </xf>
    <xf numFmtId="178" fontId="0" fillId="0" borderId="5" xfId="0" applyNumberFormat="1" applyBorder="1" applyAlignment="1">
      <alignment horizontal="right" vertical="center"/>
    </xf>
    <xf numFmtId="56" fontId="11" fillId="0" borderId="0" xfId="0" applyNumberFormat="1" applyFont="1" applyAlignment="1">
      <alignment horizontal="left" vertical="center"/>
    </xf>
    <xf numFmtId="179" fontId="16" fillId="0" borderId="0" xfId="0" applyNumberFormat="1" applyFont="1" applyAlignment="1">
      <alignment horizontal="center" vertical="center"/>
    </xf>
    <xf numFmtId="178" fontId="16" fillId="0" borderId="0" xfId="0" applyNumberFormat="1" applyFont="1">
      <alignment vertical="center"/>
    </xf>
    <xf numFmtId="0" fontId="16" fillId="7" borderId="0" xfId="0" applyFont="1" applyFill="1">
      <alignment vertical="center"/>
    </xf>
    <xf numFmtId="0" fontId="17" fillId="0" borderId="0" xfId="0" applyFont="1">
      <alignment vertical="center"/>
    </xf>
    <xf numFmtId="49" fontId="0" fillId="0" borderId="4" xfId="0" quotePrefix="1" applyNumberFormat="1" applyBorder="1">
      <alignment vertical="center"/>
    </xf>
    <xf numFmtId="0" fontId="9" fillId="0" borderId="0" xfId="0" applyFont="1" applyAlignment="1">
      <alignment horizontal="left" vertical="center"/>
    </xf>
    <xf numFmtId="49" fontId="0" fillId="10" borderId="4" xfId="0" applyNumberFormat="1" applyFill="1" applyBorder="1">
      <alignment vertical="center"/>
    </xf>
    <xf numFmtId="0" fontId="18" fillId="0" borderId="0" xfId="0" applyFont="1">
      <alignment vertical="center"/>
    </xf>
    <xf numFmtId="176" fontId="18" fillId="0" borderId="0" xfId="0" applyNumberFormat="1" applyFont="1">
      <alignment vertical="center"/>
    </xf>
    <xf numFmtId="0" fontId="20" fillId="0" borderId="0" xfId="0" quotePrefix="1" applyFont="1" applyAlignment="1"/>
    <xf numFmtId="0" fontId="21" fillId="0" borderId="0" xfId="0" quotePrefix="1" applyFont="1">
      <alignment vertical="center"/>
    </xf>
    <xf numFmtId="178" fontId="21" fillId="0" borderId="0" xfId="0" quotePrefix="1" applyNumberFormat="1" applyFont="1">
      <alignment vertical="center"/>
    </xf>
    <xf numFmtId="0" fontId="22" fillId="0" borderId="0" xfId="0" quotePrefix="1" applyFont="1" applyAlignment="1">
      <alignment horizontal="left" vertical="center"/>
    </xf>
    <xf numFmtId="0" fontId="18" fillId="0" borderId="0" xfId="0" applyFont="1" applyAlignment="1">
      <alignment horizontal="left" vertical="center"/>
    </xf>
    <xf numFmtId="0" fontId="22" fillId="0" borderId="0" xfId="0" quotePrefix="1" applyFont="1">
      <alignment vertical="center"/>
    </xf>
    <xf numFmtId="0" fontId="22" fillId="0" borderId="0" xfId="0" applyFont="1">
      <alignment vertical="center"/>
    </xf>
    <xf numFmtId="0" fontId="21" fillId="0" borderId="0" xfId="0" quotePrefix="1" applyFont="1" applyAlignment="1">
      <alignment horizontal="center" vertical="center"/>
    </xf>
    <xf numFmtId="14" fontId="18" fillId="0" borderId="0" xfId="0" quotePrefix="1" applyNumberFormat="1" applyFont="1" applyAlignment="1">
      <alignment horizontal="right" vertical="center"/>
    </xf>
    <xf numFmtId="0" fontId="18" fillId="0" borderId="0" xfId="0" quotePrefix="1" applyFont="1">
      <alignment vertical="center"/>
    </xf>
    <xf numFmtId="0" fontId="18" fillId="0" borderId="0" xfId="0" quotePrefix="1" applyFont="1" applyAlignment="1">
      <alignment horizontal="center" vertical="center"/>
    </xf>
    <xf numFmtId="0" fontId="18" fillId="0" borderId="0" xfId="0" quotePrefix="1" applyFont="1" applyAlignment="1">
      <alignment horizontal="right" vertical="center"/>
    </xf>
    <xf numFmtId="180" fontId="18" fillId="0" borderId="0" xfId="0" quotePrefix="1" applyNumberFormat="1" applyFont="1" applyAlignment="1">
      <alignment horizontal="center" vertical="center"/>
    </xf>
    <xf numFmtId="0" fontId="22" fillId="0" borderId="0" xfId="0" quotePrefix="1" applyFont="1" applyAlignment="1">
      <alignment horizontal="center" vertical="center" wrapText="1"/>
    </xf>
    <xf numFmtId="0" fontId="18" fillId="0" borderId="0" xfId="0" applyFont="1" applyAlignment="1">
      <alignment horizontal="center" vertical="center"/>
    </xf>
    <xf numFmtId="0" fontId="19" fillId="0" borderId="0" xfId="0" applyFont="1" applyAlignment="1">
      <alignment horizontal="center" vertical="center"/>
    </xf>
    <xf numFmtId="0" fontId="24" fillId="0" borderId="0" xfId="0" applyFont="1" applyAlignment="1">
      <alignment horizontal="left" vertical="center"/>
    </xf>
    <xf numFmtId="0" fontId="25" fillId="0" borderId="0" xfId="0" applyFont="1">
      <alignment vertical="center"/>
    </xf>
    <xf numFmtId="0" fontId="26" fillId="5" borderId="0" xfId="0" applyFont="1" applyFill="1" applyAlignment="1">
      <alignment horizontal="center" vertical="center"/>
    </xf>
    <xf numFmtId="0" fontId="0" fillId="0" borderId="6" xfId="0" applyBorder="1">
      <alignment vertical="center"/>
    </xf>
    <xf numFmtId="56" fontId="11" fillId="0" borderId="0" xfId="0" applyNumberFormat="1" applyFont="1">
      <alignment vertical="center"/>
    </xf>
    <xf numFmtId="0" fontId="27" fillId="0" borderId="0" xfId="0" applyFont="1">
      <alignment vertical="center"/>
    </xf>
    <xf numFmtId="178" fontId="11" fillId="11" borderId="0" xfId="0" applyNumberFormat="1" applyFont="1" applyFill="1">
      <alignment vertical="center"/>
    </xf>
    <xf numFmtId="49" fontId="0" fillId="4" borderId="0" xfId="0" applyNumberFormat="1" applyFill="1">
      <alignment vertical="center"/>
    </xf>
    <xf numFmtId="14" fontId="29" fillId="0" borderId="0" xfId="0" applyNumberFormat="1" applyFont="1">
      <alignment vertical="center"/>
    </xf>
    <xf numFmtId="180" fontId="0" fillId="4" borderId="0" xfId="0" applyNumberFormat="1" applyFill="1">
      <alignment vertical="center"/>
    </xf>
    <xf numFmtId="178" fontId="0" fillId="0" borderId="4" xfId="0" applyNumberFormat="1" applyBorder="1">
      <alignment vertical="center"/>
    </xf>
    <xf numFmtId="178" fontId="0" fillId="0" borderId="4" xfId="0" quotePrefix="1" applyNumberFormat="1" applyBorder="1">
      <alignment vertical="center"/>
    </xf>
    <xf numFmtId="178" fontId="0" fillId="3" borderId="4" xfId="0" applyNumberFormat="1" applyFill="1" applyBorder="1">
      <alignment vertical="center"/>
    </xf>
    <xf numFmtId="182" fontId="0" fillId="0" borderId="0" xfId="0" applyNumberFormat="1" applyAlignment="1">
      <alignment vertical="center" wrapText="1"/>
    </xf>
    <xf numFmtId="14" fontId="30" fillId="0" borderId="0" xfId="0" applyNumberFormat="1" applyFont="1">
      <alignment vertical="center"/>
    </xf>
    <xf numFmtId="178" fontId="29" fillId="0" borderId="0" xfId="0" applyNumberFormat="1" applyFont="1">
      <alignment vertical="center"/>
    </xf>
    <xf numFmtId="0" fontId="0" fillId="0" borderId="4" xfId="0" quotePrefix="1" applyBorder="1">
      <alignment vertical="center"/>
    </xf>
    <xf numFmtId="49" fontId="11" fillId="0" borderId="0" xfId="0" quotePrefix="1" applyNumberFormat="1" applyFont="1">
      <alignment vertical="center"/>
    </xf>
    <xf numFmtId="56" fontId="7" fillId="0" borderId="0" xfId="0" quotePrefix="1" applyNumberFormat="1" applyFont="1">
      <alignment vertical="center"/>
    </xf>
    <xf numFmtId="49" fontId="7" fillId="0" borderId="4" xfId="0" applyNumberFormat="1" applyFont="1" applyBorder="1">
      <alignment vertical="center"/>
    </xf>
    <xf numFmtId="178" fontId="7" fillId="0" borderId="4" xfId="0" applyNumberFormat="1" applyFont="1" applyBorder="1">
      <alignment vertical="center"/>
    </xf>
    <xf numFmtId="49" fontId="7" fillId="0" borderId="0" xfId="0" quotePrefix="1" applyNumberFormat="1" applyFont="1">
      <alignment vertical="center"/>
    </xf>
    <xf numFmtId="178" fontId="7" fillId="0" borderId="0" xfId="0" quotePrefix="1" applyNumberFormat="1" applyFont="1">
      <alignment vertical="center"/>
    </xf>
    <xf numFmtId="0" fontId="0" fillId="0" borderId="7" xfId="0" applyBorder="1">
      <alignment vertical="center"/>
    </xf>
    <xf numFmtId="0" fontId="0" fillId="12" borderId="3" xfId="0" applyFill="1" applyBorder="1">
      <alignment vertical="center"/>
    </xf>
    <xf numFmtId="0" fontId="0" fillId="4" borderId="3" xfId="0" applyFill="1" applyBorder="1">
      <alignment vertical="center"/>
    </xf>
    <xf numFmtId="0" fontId="0" fillId="12" borderId="7" xfId="0" applyFill="1" applyBorder="1">
      <alignment vertical="center"/>
    </xf>
    <xf numFmtId="20" fontId="11" fillId="0" borderId="0" xfId="0" applyNumberFormat="1" applyFont="1" applyAlignment="1">
      <alignment horizontal="left" vertical="center"/>
    </xf>
    <xf numFmtId="20" fontId="31" fillId="0" borderId="0" xfId="0" applyNumberFormat="1" applyFont="1">
      <alignment vertical="center"/>
    </xf>
    <xf numFmtId="56" fontId="7" fillId="0" borderId="0" xfId="0" applyNumberFormat="1" applyFont="1">
      <alignment vertical="center"/>
    </xf>
    <xf numFmtId="178" fontId="0" fillId="0" borderId="0" xfId="0" applyNumberFormat="1" applyAlignment="1">
      <alignment vertical="center" shrinkToFit="1"/>
    </xf>
    <xf numFmtId="20" fontId="31" fillId="0" borderId="0" xfId="0" applyNumberFormat="1" applyFont="1" applyAlignment="1">
      <alignment horizontal="right" vertical="center"/>
    </xf>
    <xf numFmtId="0" fontId="18" fillId="0" borderId="0" xfId="0" applyFont="1" applyAlignment="1">
      <alignment horizontal="center" vertical="center"/>
    </xf>
    <xf numFmtId="0" fontId="27" fillId="0" borderId="0" xfId="0" quotePrefix="1" applyFont="1" applyAlignment="1">
      <alignment horizontal="right" vertical="center" wrapText="1"/>
    </xf>
    <xf numFmtId="0" fontId="22" fillId="0" borderId="0" xfId="0" quotePrefix="1" applyFont="1" applyAlignment="1">
      <alignment horizontal="right" vertical="center"/>
    </xf>
    <xf numFmtId="14" fontId="8" fillId="5" borderId="0" xfId="0" applyNumberFormat="1" applyFont="1" applyFill="1" applyAlignment="1">
      <alignment horizontal="left"/>
    </xf>
    <xf numFmtId="14" fontId="8" fillId="5" borderId="0" xfId="0" applyNumberFormat="1" applyFont="1" applyFill="1" applyAlignment="1">
      <alignment horizontal="center"/>
    </xf>
    <xf numFmtId="180" fontId="23" fillId="0" borderId="0" xfId="0" applyNumberFormat="1" applyFont="1" applyAlignment="1">
      <alignment horizontal="center"/>
    </xf>
    <xf numFmtId="0" fontId="21" fillId="0" borderId="0" xfId="0" applyFont="1" applyAlignment="1">
      <alignment horizontal="center" vertical="center"/>
    </xf>
    <xf numFmtId="0" fontId="24" fillId="0" borderId="0" xfId="0" applyFont="1" applyAlignment="1">
      <alignment horizontal="left" vertical="center"/>
    </xf>
    <xf numFmtId="178" fontId="21" fillId="0" borderId="0" xfId="0" quotePrefix="1" applyNumberFormat="1" applyFont="1" applyAlignment="1">
      <alignment horizontal="center" vertical="center"/>
    </xf>
    <xf numFmtId="0" fontId="21" fillId="0" borderId="0" xfId="0" quotePrefix="1" applyFont="1" applyAlignment="1">
      <alignment horizontal="right" vertical="center"/>
    </xf>
    <xf numFmtId="178" fontId="18" fillId="0" borderId="0" xfId="0" applyNumberFormat="1" applyFont="1" applyAlignment="1">
      <alignment horizontal="center" vertical="center"/>
    </xf>
    <xf numFmtId="0" fontId="18" fillId="0" borderId="0" xfId="0" quotePrefix="1" applyFont="1" applyAlignment="1">
      <alignment horizontal="right" vertical="center"/>
    </xf>
    <xf numFmtId="0" fontId="18" fillId="0" borderId="0" xfId="0" applyFont="1" applyAlignment="1">
      <alignment horizontal="left" vertical="center"/>
    </xf>
    <xf numFmtId="178" fontId="18" fillId="0" borderId="0" xfId="0" quotePrefix="1" applyNumberFormat="1" applyFont="1" applyAlignment="1">
      <alignment horizontal="center" vertical="center"/>
    </xf>
    <xf numFmtId="178" fontId="21" fillId="0" borderId="0" xfId="0" quotePrefix="1" applyNumberFormat="1" applyFont="1" applyAlignment="1">
      <alignment horizontal="left" vertical="center"/>
    </xf>
    <xf numFmtId="0" fontId="18" fillId="0" borderId="0" xfId="0" applyFont="1" applyAlignment="1">
      <alignment horizontal="right"/>
    </xf>
    <xf numFmtId="0" fontId="22" fillId="0" borderId="0" xfId="0" quotePrefix="1" applyFont="1" applyAlignment="1">
      <alignment horizontal="center" vertical="center"/>
    </xf>
    <xf numFmtId="0" fontId="16" fillId="0" borderId="0" xfId="0" applyFont="1" applyAlignment="1">
      <alignment horizontal="center" vertical="center"/>
    </xf>
    <xf numFmtId="0" fontId="11" fillId="0" borderId="0" xfId="0" applyFont="1" applyAlignment="1">
      <alignment horizontal="center" vertical="center"/>
    </xf>
    <xf numFmtId="14" fontId="28" fillId="5" borderId="0" xfId="0" applyNumberFormat="1" applyFont="1" applyFill="1" applyAlignment="1">
      <alignment horizontal="left"/>
    </xf>
    <xf numFmtId="0" fontId="18" fillId="0" borderId="0" xfId="0" applyFont="1" applyAlignment="1">
      <alignment horizontal="left"/>
    </xf>
    <xf numFmtId="0" fontId="21" fillId="0" borderId="0" xfId="0" quotePrefix="1" applyFont="1" applyAlignment="1">
      <alignment horizontal="center" vertical="center"/>
    </xf>
    <xf numFmtId="180" fontId="18" fillId="0" borderId="0" xfId="0" applyNumberFormat="1" applyFont="1" applyAlignment="1">
      <alignment horizontal="center" vertical="center"/>
    </xf>
    <xf numFmtId="0" fontId="2" fillId="0" borderId="0" xfId="0" applyFont="1" applyAlignment="1">
      <alignment horizontal="center" vertical="center"/>
    </xf>
    <xf numFmtId="178" fontId="16" fillId="0" borderId="0" xfId="0" applyNumberFormat="1" applyFont="1" applyAlignment="1">
      <alignment horizontal="center" vertical="center"/>
    </xf>
    <xf numFmtId="0" fontId="18" fillId="0" borderId="0" xfId="0" quotePrefix="1" applyFont="1" applyAlignment="1">
      <alignment horizontal="left" vertical="center"/>
    </xf>
    <xf numFmtId="0" fontId="18" fillId="0" borderId="0" xfId="0" quotePrefix="1" applyFont="1" applyAlignment="1">
      <alignment horizontal="center" vertical="center"/>
    </xf>
    <xf numFmtId="0" fontId="20" fillId="0" borderId="0" xfId="0" quotePrefix="1" applyFont="1" applyAlignment="1">
      <alignment horizontal="right"/>
    </xf>
    <xf numFmtId="0" fontId="21" fillId="0" borderId="0" xfId="0" quotePrefix="1" applyFont="1" applyAlignment="1">
      <alignment horizontal="left" vertical="center"/>
    </xf>
    <xf numFmtId="0" fontId="21" fillId="0" borderId="0" xfId="0" applyFont="1" applyAlignment="1">
      <alignment horizontal="left" vertical="center"/>
    </xf>
    <xf numFmtId="0" fontId="23" fillId="0" borderId="0" xfId="0" quotePrefix="1" applyFont="1" applyAlignment="1">
      <alignment horizontal="right"/>
    </xf>
    <xf numFmtId="178" fontId="21" fillId="0" borderId="0" xfId="0" applyNumberFormat="1" applyFont="1" applyAlignment="1">
      <alignment horizontal="center" vertical="center"/>
    </xf>
    <xf numFmtId="180" fontId="18" fillId="0" borderId="0" xfId="0" quotePrefix="1" applyNumberFormat="1" applyFont="1" applyAlignment="1">
      <alignment horizontal="center" vertical="center"/>
    </xf>
    <xf numFmtId="0" fontId="7" fillId="5" borderId="0" xfId="0" quotePrefix="1" applyFont="1" applyFill="1" applyAlignment="1">
      <alignment horizontal="left" vertical="center"/>
    </xf>
    <xf numFmtId="14" fontId="8" fillId="0" borderId="0" xfId="0" applyNumberFormat="1" applyFont="1" applyAlignment="1">
      <alignment horizontal="center"/>
    </xf>
    <xf numFmtId="0" fontId="13" fillId="0" borderId="0" xfId="0" applyFont="1" applyAlignment="1">
      <alignment horizontal="center" vertical="center"/>
    </xf>
    <xf numFmtId="56" fontId="9" fillId="0" borderId="0" xfId="0" quotePrefix="1" applyNumberFormat="1" applyFont="1" applyAlignment="1">
      <alignment horizontal="left" vertical="center"/>
    </xf>
    <xf numFmtId="56" fontId="9" fillId="0" borderId="0" xfId="0" quotePrefix="1" applyNumberFormat="1" applyFont="1" applyAlignment="1">
      <alignment horizontal="center" vertical="center"/>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31750</xdr:colOff>
          <xdr:row>17</xdr:row>
          <xdr:rowOff>57150</xdr:rowOff>
        </xdr:from>
        <xdr:to>
          <xdr:col>3</xdr:col>
          <xdr:colOff>146050</xdr:colOff>
          <xdr:row>18</xdr:row>
          <xdr:rowOff>107950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20</xdr:row>
          <xdr:rowOff>76200</xdr:rowOff>
        </xdr:from>
        <xdr:to>
          <xdr:col>3</xdr:col>
          <xdr:colOff>69850</xdr:colOff>
          <xdr:row>21</xdr:row>
          <xdr:rowOff>127000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23</xdr:row>
          <xdr:rowOff>69850</xdr:rowOff>
        </xdr:from>
        <xdr:to>
          <xdr:col>3</xdr:col>
          <xdr:colOff>95250</xdr:colOff>
          <xdr:row>24</xdr:row>
          <xdr:rowOff>127000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13</xdr:row>
          <xdr:rowOff>31750</xdr:rowOff>
        </xdr:from>
        <xdr:to>
          <xdr:col>13</xdr:col>
          <xdr:colOff>247650</xdr:colOff>
          <xdr:row>14</xdr:row>
          <xdr:rowOff>50800</xdr:rowOff>
        </xdr:to>
        <xdr:sp macro="" textlink="">
          <xdr:nvSpPr>
            <xdr:cNvPr id="1032" name="Object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165100</xdr:colOff>
          <xdr:row>14</xdr:row>
          <xdr:rowOff>0</xdr:rowOff>
        </xdr:from>
        <xdr:to>
          <xdr:col>20</xdr:col>
          <xdr:colOff>50800</xdr:colOff>
          <xdr:row>14</xdr:row>
          <xdr:rowOff>222250</xdr:rowOff>
        </xdr:to>
        <xdr:sp macro="" textlink="">
          <xdr:nvSpPr>
            <xdr:cNvPr id="1033" name="Object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29</xdr:row>
          <xdr:rowOff>38100</xdr:rowOff>
        </xdr:from>
        <xdr:to>
          <xdr:col>3</xdr:col>
          <xdr:colOff>133350</xdr:colOff>
          <xdr:row>31</xdr:row>
          <xdr:rowOff>50800</xdr:rowOff>
        </xdr:to>
        <xdr:sp macro="" textlink="">
          <xdr:nvSpPr>
            <xdr:cNvPr id="1034" name="Object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29</xdr:row>
          <xdr:rowOff>57150</xdr:rowOff>
        </xdr:from>
        <xdr:to>
          <xdr:col>11</xdr:col>
          <xdr:colOff>107950</xdr:colOff>
          <xdr:row>31</xdr:row>
          <xdr:rowOff>50800</xdr:rowOff>
        </xdr:to>
        <xdr:sp macro="" textlink="">
          <xdr:nvSpPr>
            <xdr:cNvPr id="1036" name="Object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29</xdr:row>
          <xdr:rowOff>38100</xdr:rowOff>
        </xdr:from>
        <xdr:to>
          <xdr:col>16</xdr:col>
          <xdr:colOff>12700</xdr:colOff>
          <xdr:row>31</xdr:row>
          <xdr:rowOff>31750</xdr:rowOff>
        </xdr:to>
        <xdr:sp macro="" textlink="">
          <xdr:nvSpPr>
            <xdr:cNvPr id="1037" name="Object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34</xdr:row>
          <xdr:rowOff>107950</xdr:rowOff>
        </xdr:from>
        <xdr:to>
          <xdr:col>6</xdr:col>
          <xdr:colOff>50800</xdr:colOff>
          <xdr:row>35</xdr:row>
          <xdr:rowOff>146050</xdr:rowOff>
        </xdr:to>
        <xdr:sp macro="" textlink="">
          <xdr:nvSpPr>
            <xdr:cNvPr id="1038" name="Object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36</xdr:row>
          <xdr:rowOff>114300</xdr:rowOff>
        </xdr:from>
        <xdr:to>
          <xdr:col>7</xdr:col>
          <xdr:colOff>12700</xdr:colOff>
          <xdr:row>37</xdr:row>
          <xdr:rowOff>146050</xdr:rowOff>
        </xdr:to>
        <xdr:sp macro="" textlink="">
          <xdr:nvSpPr>
            <xdr:cNvPr id="1039" name="Object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38</xdr:row>
          <xdr:rowOff>114300</xdr:rowOff>
        </xdr:from>
        <xdr:to>
          <xdr:col>7</xdr:col>
          <xdr:colOff>12700</xdr:colOff>
          <xdr:row>39</xdr:row>
          <xdr:rowOff>38100</xdr:rowOff>
        </xdr:to>
        <xdr:sp macro="" textlink="">
          <xdr:nvSpPr>
            <xdr:cNvPr id="1040" name="Object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88900</xdr:colOff>
          <xdr:row>34</xdr:row>
          <xdr:rowOff>69850</xdr:rowOff>
        </xdr:from>
        <xdr:to>
          <xdr:col>16</xdr:col>
          <xdr:colOff>0</xdr:colOff>
          <xdr:row>35</xdr:row>
          <xdr:rowOff>114300</xdr:rowOff>
        </xdr:to>
        <xdr:sp macro="" textlink="">
          <xdr:nvSpPr>
            <xdr:cNvPr id="1042" name="Object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36</xdr:row>
          <xdr:rowOff>114300</xdr:rowOff>
        </xdr:from>
        <xdr:to>
          <xdr:col>4</xdr:col>
          <xdr:colOff>38100</xdr:colOff>
          <xdr:row>37</xdr:row>
          <xdr:rowOff>146050</xdr:rowOff>
        </xdr:to>
        <xdr:sp macro="" textlink="">
          <xdr:nvSpPr>
            <xdr:cNvPr id="1043" name="Object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50800</xdr:colOff>
          <xdr:row>36</xdr:row>
          <xdr:rowOff>114300</xdr:rowOff>
        </xdr:from>
        <xdr:to>
          <xdr:col>17</xdr:col>
          <xdr:colOff>31750</xdr:colOff>
          <xdr:row>37</xdr:row>
          <xdr:rowOff>146050</xdr:rowOff>
        </xdr:to>
        <xdr:sp macro="" textlink="">
          <xdr:nvSpPr>
            <xdr:cNvPr id="1044" name="Object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40</xdr:row>
          <xdr:rowOff>19050</xdr:rowOff>
        </xdr:from>
        <xdr:to>
          <xdr:col>4</xdr:col>
          <xdr:colOff>133350</xdr:colOff>
          <xdr:row>43</xdr:row>
          <xdr:rowOff>171450</xdr:rowOff>
        </xdr:to>
        <xdr:sp macro="" textlink="">
          <xdr:nvSpPr>
            <xdr:cNvPr id="1046" name="Object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26</xdr:row>
          <xdr:rowOff>88900</xdr:rowOff>
        </xdr:from>
        <xdr:to>
          <xdr:col>3</xdr:col>
          <xdr:colOff>76200</xdr:colOff>
          <xdr:row>27</xdr:row>
          <xdr:rowOff>152400</xdr:rowOff>
        </xdr:to>
        <xdr:sp macro="" textlink="">
          <xdr:nvSpPr>
            <xdr:cNvPr id="1047" name="Object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32</xdr:row>
          <xdr:rowOff>12700</xdr:rowOff>
        </xdr:from>
        <xdr:to>
          <xdr:col>3</xdr:col>
          <xdr:colOff>152400</xdr:colOff>
          <xdr:row>33</xdr:row>
          <xdr:rowOff>69850</xdr:rowOff>
        </xdr:to>
        <xdr:sp macro="" textlink="">
          <xdr:nvSpPr>
            <xdr:cNvPr id="1048" name="Object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12</xdr:row>
          <xdr:rowOff>0</xdr:rowOff>
        </xdr:from>
        <xdr:to>
          <xdr:col>6</xdr:col>
          <xdr:colOff>95250</xdr:colOff>
          <xdr:row>13</xdr:row>
          <xdr:rowOff>57150</xdr:rowOff>
        </xdr:to>
        <xdr:sp macro="" textlink="">
          <xdr:nvSpPr>
            <xdr:cNvPr id="1049" name="Object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10</xdr:row>
          <xdr:rowOff>0</xdr:rowOff>
        </xdr:from>
        <xdr:to>
          <xdr:col>6</xdr:col>
          <xdr:colOff>69850</xdr:colOff>
          <xdr:row>10</xdr:row>
          <xdr:rowOff>247650</xdr:rowOff>
        </xdr:to>
        <xdr:sp macro="" textlink="">
          <xdr:nvSpPr>
            <xdr:cNvPr id="1054" name="Object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31750</xdr:colOff>
          <xdr:row>12</xdr:row>
          <xdr:rowOff>0</xdr:rowOff>
        </xdr:from>
        <xdr:to>
          <xdr:col>17</xdr:col>
          <xdr:colOff>95250</xdr:colOff>
          <xdr:row>13</xdr:row>
          <xdr:rowOff>57150</xdr:rowOff>
        </xdr:to>
        <xdr:sp macro="" textlink="">
          <xdr:nvSpPr>
            <xdr:cNvPr id="1055" name="Object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10</xdr:row>
          <xdr:rowOff>0</xdr:rowOff>
        </xdr:from>
        <xdr:to>
          <xdr:col>17</xdr:col>
          <xdr:colOff>88900</xdr:colOff>
          <xdr:row>10</xdr:row>
          <xdr:rowOff>241300</xdr:rowOff>
        </xdr:to>
        <xdr:sp macro="" textlink="">
          <xdr:nvSpPr>
            <xdr:cNvPr id="1056" name="Object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8</xdr:row>
          <xdr:rowOff>31750</xdr:rowOff>
        </xdr:from>
        <xdr:to>
          <xdr:col>6</xdr:col>
          <xdr:colOff>69850</xdr:colOff>
          <xdr:row>8</xdr:row>
          <xdr:rowOff>260350</xdr:rowOff>
        </xdr:to>
        <xdr:sp macro="" textlink="">
          <xdr:nvSpPr>
            <xdr:cNvPr id="1057" name="Object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8</xdr:row>
          <xdr:rowOff>31750</xdr:rowOff>
        </xdr:from>
        <xdr:to>
          <xdr:col>14</xdr:col>
          <xdr:colOff>88900</xdr:colOff>
          <xdr:row>9</xdr:row>
          <xdr:rowOff>0</xdr:rowOff>
        </xdr:to>
        <xdr:sp macro="" textlink="">
          <xdr:nvSpPr>
            <xdr:cNvPr id="1058" name="Object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38100</xdr:rowOff>
        </xdr:from>
        <xdr:to>
          <xdr:col>6</xdr:col>
          <xdr:colOff>88900</xdr:colOff>
          <xdr:row>14</xdr:row>
          <xdr:rowOff>50800</xdr:rowOff>
        </xdr:to>
        <xdr:sp macro="" textlink="">
          <xdr:nvSpPr>
            <xdr:cNvPr id="1031" name="Object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package" Target="../embeddings/Microsoft_Word_Document7.docx"/><Relationship Id="rId26" Type="http://schemas.openxmlformats.org/officeDocument/2006/relationships/package" Target="../embeddings/Microsoft_Word_Document11.docx"/><Relationship Id="rId39" Type="http://schemas.openxmlformats.org/officeDocument/2006/relationships/image" Target="../media/image18.emf"/><Relationship Id="rId21" Type="http://schemas.openxmlformats.org/officeDocument/2006/relationships/image" Target="../media/image9.emf"/><Relationship Id="rId34" Type="http://schemas.openxmlformats.org/officeDocument/2006/relationships/package" Target="../embeddings/Microsoft_Word_Document15.docx"/><Relationship Id="rId42" Type="http://schemas.openxmlformats.org/officeDocument/2006/relationships/package" Target="../embeddings/Microsoft_Word_Document19.docx"/><Relationship Id="rId47" Type="http://schemas.openxmlformats.org/officeDocument/2006/relationships/image" Target="../media/image22.emf"/><Relationship Id="rId50" Type="http://schemas.openxmlformats.org/officeDocument/2006/relationships/package" Target="../embeddings/Microsoft_Word_Document23.docx"/><Relationship Id="rId7" Type="http://schemas.openxmlformats.org/officeDocument/2006/relationships/image" Target="../media/image2.emf"/><Relationship Id="rId2" Type="http://schemas.openxmlformats.org/officeDocument/2006/relationships/drawing" Target="../drawings/drawing1.xml"/><Relationship Id="rId16" Type="http://schemas.openxmlformats.org/officeDocument/2006/relationships/package" Target="../embeddings/Microsoft_Word_Document6.docx"/><Relationship Id="rId29" Type="http://schemas.openxmlformats.org/officeDocument/2006/relationships/image" Target="../media/image13.emf"/><Relationship Id="rId11" Type="http://schemas.openxmlformats.org/officeDocument/2006/relationships/image" Target="../media/image4.emf"/><Relationship Id="rId24" Type="http://schemas.openxmlformats.org/officeDocument/2006/relationships/package" Target="../embeddings/Microsoft_Word_Document10.docx"/><Relationship Id="rId32" Type="http://schemas.openxmlformats.org/officeDocument/2006/relationships/package" Target="../embeddings/Microsoft_Word_Document14.docx"/><Relationship Id="rId37" Type="http://schemas.openxmlformats.org/officeDocument/2006/relationships/image" Target="../media/image17.emf"/><Relationship Id="rId40" Type="http://schemas.openxmlformats.org/officeDocument/2006/relationships/package" Target="../embeddings/Microsoft_Word_Document18.docx"/><Relationship Id="rId45" Type="http://schemas.openxmlformats.org/officeDocument/2006/relationships/image" Target="../media/image21.emf"/><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package" Target="../embeddings/Microsoft_Word_Document12.docx"/><Relationship Id="rId36" Type="http://schemas.openxmlformats.org/officeDocument/2006/relationships/package" Target="../embeddings/Microsoft_Word_Document16.docx"/><Relationship Id="rId49" Type="http://schemas.openxmlformats.org/officeDocument/2006/relationships/image" Target="../media/image23.emf"/><Relationship Id="rId10" Type="http://schemas.openxmlformats.org/officeDocument/2006/relationships/package" Target="../embeddings/Microsoft_Word_Document3.docx"/><Relationship Id="rId19" Type="http://schemas.openxmlformats.org/officeDocument/2006/relationships/image" Target="../media/image8.emf"/><Relationship Id="rId31" Type="http://schemas.openxmlformats.org/officeDocument/2006/relationships/image" Target="../media/image14.emf"/><Relationship Id="rId44" Type="http://schemas.openxmlformats.org/officeDocument/2006/relationships/package" Target="../embeddings/Microsoft_Word_Document20.docx"/><Relationship Id="rId4" Type="http://schemas.openxmlformats.org/officeDocument/2006/relationships/package" Target="../embeddings/Microsoft_Word_Document.docx"/><Relationship Id="rId9" Type="http://schemas.openxmlformats.org/officeDocument/2006/relationships/image" Target="../media/image3.emf"/><Relationship Id="rId14" Type="http://schemas.openxmlformats.org/officeDocument/2006/relationships/package" Target="../embeddings/Microsoft_Word_Document5.docx"/><Relationship Id="rId22" Type="http://schemas.openxmlformats.org/officeDocument/2006/relationships/package" Target="../embeddings/Microsoft_Word_Document9.docx"/><Relationship Id="rId27" Type="http://schemas.openxmlformats.org/officeDocument/2006/relationships/image" Target="../media/image12.emf"/><Relationship Id="rId30" Type="http://schemas.openxmlformats.org/officeDocument/2006/relationships/package" Target="../embeddings/Microsoft_Word_Document13.docx"/><Relationship Id="rId35" Type="http://schemas.openxmlformats.org/officeDocument/2006/relationships/image" Target="../media/image16.emf"/><Relationship Id="rId43" Type="http://schemas.openxmlformats.org/officeDocument/2006/relationships/image" Target="../media/image20.emf"/><Relationship Id="rId48" Type="http://schemas.openxmlformats.org/officeDocument/2006/relationships/package" Target="../embeddings/Microsoft_Word_Document22.docx"/><Relationship Id="rId8" Type="http://schemas.openxmlformats.org/officeDocument/2006/relationships/package" Target="../embeddings/Microsoft_Word_Document2.docx"/><Relationship Id="rId51" Type="http://schemas.openxmlformats.org/officeDocument/2006/relationships/image" Target="../media/image24.emf"/><Relationship Id="rId3" Type="http://schemas.openxmlformats.org/officeDocument/2006/relationships/vmlDrawing" Target="../drawings/vmlDrawing1.vml"/><Relationship Id="rId12" Type="http://schemas.openxmlformats.org/officeDocument/2006/relationships/package" Target="../embeddings/Microsoft_Word_Document4.docx"/><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package" Target="../embeddings/Microsoft_Word_Document17.docx"/><Relationship Id="rId46" Type="http://schemas.openxmlformats.org/officeDocument/2006/relationships/package" Target="../embeddings/Microsoft_Word_Document21.docx"/><Relationship Id="rId20" Type="http://schemas.openxmlformats.org/officeDocument/2006/relationships/package" Target="../embeddings/Microsoft_Word_Document8.docx"/><Relationship Id="rId41" Type="http://schemas.openxmlformats.org/officeDocument/2006/relationships/image" Target="../media/image19.emf"/><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tabColor theme="8" tint="0.39997558519241921"/>
  </sheetPr>
  <dimension ref="B1:AF60"/>
  <sheetViews>
    <sheetView tabSelected="1" zoomScaleNormal="100" workbookViewId="0">
      <selection activeCell="X19" activeCellId="1" sqref="G29 X19"/>
    </sheetView>
  </sheetViews>
  <sheetFormatPr defaultColWidth="9" defaultRowHeight="13"/>
  <cols>
    <col min="1" max="1" width="1.26953125" style="1" customWidth="1"/>
    <col min="2" max="2" width="0.90625" style="1" customWidth="1"/>
    <col min="3" max="3" width="2" style="1" customWidth="1"/>
    <col min="4" max="4" width="2.36328125" style="1" customWidth="1"/>
    <col min="5" max="5" width="2.453125" style="1" customWidth="1"/>
    <col min="6" max="6" width="2.08984375" style="1" customWidth="1"/>
    <col min="7" max="7" width="1.36328125" style="1" customWidth="1"/>
    <col min="8" max="8" width="2.90625" style="1" customWidth="1"/>
    <col min="9" max="9" width="0.6328125" style="1" customWidth="1"/>
    <col min="10" max="10" width="0.7265625" style="1" customWidth="1"/>
    <col min="11" max="11" width="4" style="1" customWidth="1"/>
    <col min="12" max="12" width="2.453125" style="1" customWidth="1"/>
    <col min="13" max="13" width="4.453125" style="1" customWidth="1"/>
    <col min="14" max="14" width="4.6328125" style="1" customWidth="1"/>
    <col min="15" max="15" width="2.6328125" style="1" customWidth="1"/>
    <col min="16" max="16" width="3.08984375" style="1" customWidth="1"/>
    <col min="17" max="17" width="1.26953125" style="1" customWidth="1"/>
    <col min="18" max="18" width="3.453125" style="1" customWidth="1"/>
    <col min="19" max="19" width="3.26953125" style="1" customWidth="1"/>
    <col min="20" max="20" width="3.453125" style="1" customWidth="1"/>
    <col min="21" max="21" width="9.08984375" style="1" customWidth="1"/>
    <col min="22" max="22" width="9" style="1" customWidth="1"/>
    <col min="23" max="23" width="9.08984375" style="18" customWidth="1"/>
    <col min="24" max="24" width="10.6328125" style="1" customWidth="1"/>
    <col min="25" max="25" width="9" style="1"/>
    <col min="26" max="26" width="6.6328125" style="1" customWidth="1"/>
    <col min="27" max="27" width="9.453125" style="1" customWidth="1"/>
    <col min="28" max="33" width="9" style="1"/>
    <col min="34" max="34" width="25" style="1" customWidth="1"/>
    <col min="35" max="16384" width="9" style="1"/>
  </cols>
  <sheetData>
    <row r="1" spans="2:32" ht="7.5" customHeight="1">
      <c r="B1" s="105"/>
      <c r="C1" s="105"/>
      <c r="D1" s="105"/>
      <c r="E1" s="105"/>
      <c r="F1" s="105"/>
      <c r="G1" s="105"/>
      <c r="H1" s="105"/>
      <c r="I1" s="105"/>
      <c r="J1" s="105"/>
      <c r="K1" s="105"/>
      <c r="L1" s="105"/>
      <c r="M1" s="105"/>
      <c r="N1" s="105"/>
      <c r="O1" s="105"/>
      <c r="P1" s="105"/>
      <c r="Q1" s="105"/>
      <c r="R1" s="105"/>
      <c r="S1" s="105"/>
      <c r="T1" s="105"/>
      <c r="U1" s="105"/>
    </row>
    <row r="2" spans="2:32" ht="0.75" customHeight="1">
      <c r="B2" s="105"/>
      <c r="C2" s="105"/>
      <c r="D2" s="105"/>
      <c r="E2" s="105"/>
      <c r="F2" s="105"/>
      <c r="G2" s="105"/>
      <c r="H2" s="105"/>
      <c r="I2" s="105"/>
      <c r="J2" s="105"/>
      <c r="K2" s="105"/>
      <c r="L2" s="105"/>
      <c r="M2" s="105"/>
      <c r="N2" s="105"/>
      <c r="O2" s="105"/>
      <c r="P2" s="105"/>
      <c r="Q2" s="105"/>
      <c r="R2" s="105"/>
      <c r="S2" s="105"/>
      <c r="T2" s="105"/>
      <c r="U2" s="105"/>
    </row>
    <row r="3" spans="2:32" ht="0.75" customHeight="1">
      <c r="B3" s="105"/>
      <c r="C3" s="105"/>
      <c r="D3" s="105"/>
      <c r="E3" s="105"/>
      <c r="F3" s="105"/>
      <c r="G3" s="105"/>
      <c r="H3" s="105"/>
      <c r="I3" s="105"/>
      <c r="J3" s="105"/>
      <c r="K3" s="105"/>
      <c r="L3" s="105"/>
      <c r="M3" s="105"/>
      <c r="N3" s="105"/>
      <c r="O3" s="105"/>
      <c r="P3" s="105"/>
      <c r="Q3" s="105"/>
      <c r="R3" s="105"/>
      <c r="S3" s="105"/>
      <c r="T3" s="105"/>
      <c r="U3" s="105"/>
    </row>
    <row r="4" spans="2:32" ht="11.15" customHeight="1">
      <c r="B4" s="105"/>
      <c r="C4" s="105"/>
      <c r="D4" s="105"/>
      <c r="E4" s="105"/>
      <c r="F4" s="105"/>
      <c r="G4" s="105"/>
      <c r="H4" s="105"/>
      <c r="I4" s="105"/>
      <c r="J4" s="105"/>
      <c r="K4" s="105"/>
      <c r="L4" s="105"/>
      <c r="M4" s="105"/>
      <c r="N4" s="105"/>
      <c r="O4" s="105"/>
      <c r="P4" s="105"/>
      <c r="Q4" s="105"/>
      <c r="R4" s="105"/>
      <c r="S4" s="105"/>
      <c r="T4" s="105"/>
      <c r="U4" s="105"/>
    </row>
    <row r="5" spans="2:32" ht="10.5" customHeight="1">
      <c r="B5" s="105"/>
      <c r="C5" s="105"/>
      <c r="D5" s="105"/>
      <c r="E5" s="105"/>
      <c r="F5" s="105"/>
      <c r="G5" s="105"/>
      <c r="H5" s="105"/>
      <c r="I5" s="105"/>
      <c r="J5" s="105"/>
      <c r="K5" s="105"/>
      <c r="L5" s="105"/>
      <c r="M5" s="105"/>
      <c r="N5" s="105"/>
      <c r="O5" s="105"/>
      <c r="P5" s="105"/>
      <c r="Q5" s="105"/>
      <c r="R5" s="105"/>
      <c r="S5" s="105"/>
      <c r="T5" s="105"/>
      <c r="U5" s="105"/>
    </row>
    <row r="6" spans="2:32" ht="12" customHeight="1">
      <c r="B6" s="105"/>
      <c r="C6" s="105"/>
      <c r="D6" s="105"/>
      <c r="E6" s="105"/>
      <c r="F6" s="105"/>
      <c r="G6" s="105"/>
      <c r="H6" s="105"/>
      <c r="I6" s="105"/>
      <c r="J6" s="105"/>
      <c r="K6" s="105"/>
      <c r="L6" s="105"/>
      <c r="M6" s="105"/>
      <c r="N6" s="105"/>
      <c r="O6" s="105"/>
      <c r="P6" s="105"/>
      <c r="Q6" s="105"/>
      <c r="R6" s="105"/>
      <c r="S6" s="105"/>
      <c r="T6" s="105"/>
      <c r="U6" s="105"/>
      <c r="W6" s="65" t="s">
        <v>5</v>
      </c>
      <c r="X6" s="82" t="s">
        <v>99</v>
      </c>
      <c r="Y6" s="81" t="str">
        <f ca="1">IF(NETWORKDAYS(データシート!A1,データシート!A1,データシート!AE3:AE60),"平日","休日")</f>
        <v>平日</v>
      </c>
      <c r="Z6" s="173" t="s">
        <v>150</v>
      </c>
      <c r="AA6" s="173"/>
      <c r="AB6" s="43" t="s">
        <v>50</v>
      </c>
    </row>
    <row r="7" spans="2:32" ht="15" customHeight="1">
      <c r="B7" s="180">
        <f ca="1">IF(AB6="YES","",IF(OR(X6="本　日",X6="明　日",X6="明後日",X6="３日後",X6="４日後",X6="５日後",X6="６日後"),YEAR(データシート!A1),""))</f>
        <v>2026</v>
      </c>
      <c r="C7" s="180"/>
      <c r="D7" s="180"/>
      <c r="E7" s="180"/>
      <c r="F7" s="181">
        <f ca="1">IF(AB6="YES","",IF(OR(X6="本　日",X6="明　日",X6="明後日",X6="３日後",X6="４日後",X6="５日後",X6="６日後"),MONTH(データシート!A1),""))</f>
        <v>8</v>
      </c>
      <c r="G7" s="181"/>
      <c r="H7" s="181" t="str">
        <f ca="1">IF(AB6="YES","",IF(OR(X6="本　日",X6="明　日",X6="明後日",X6="３日後",X6="４日後",X6="５日後",X6="６日後"),DAY(データシート!A1),""))&amp;"  "</f>
        <v xml:space="preserve">3  </v>
      </c>
      <c r="I7" s="181"/>
      <c r="J7" s="181"/>
      <c r="K7" s="181"/>
      <c r="L7" s="105"/>
      <c r="M7" s="105"/>
      <c r="N7" s="106"/>
      <c r="O7" s="105"/>
      <c r="P7" s="105"/>
      <c r="Q7" s="105"/>
      <c r="R7" s="105"/>
      <c r="S7" s="105"/>
      <c r="T7" s="105"/>
      <c r="U7" s="105"/>
      <c r="V7" s="17"/>
      <c r="W7" s="19" t="s">
        <v>0</v>
      </c>
      <c r="X7" s="125" t="e">
        <f ca="1">VALUE(MID(CELL("filename",A1),SEARCH("[",CELL("filename",A1))+1,SEARCH(".",CELL("filename",A1))-1-SEARCH("[",CELL("filename",A1))))</f>
        <v>#VALUE!</v>
      </c>
      <c r="AC7" s="92" t="e">
        <f ca="1">IF(AE7&lt;AF7," ","")</f>
        <v>#VALUE!</v>
      </c>
      <c r="AD7" s="100" t="s">
        <v>85</v>
      </c>
      <c r="AE7" s="91" t="e">
        <f ca="1">VALUE(VLOOKUP($X$8,データシート!$B$69:'データシート'!$W$475,8,FALSE))</f>
        <v>#VALUE!</v>
      </c>
      <c r="AF7" s="92">
        <f>VALUE((データシート!$K$65))</f>
        <v>0.41666666666666669</v>
      </c>
    </row>
    <row r="8" spans="2:32" ht="13.5" customHeight="1">
      <c r="B8" s="105"/>
      <c r="C8" s="105"/>
      <c r="D8" s="105"/>
      <c r="E8" s="105"/>
      <c r="F8" s="105"/>
      <c r="G8" s="105"/>
      <c r="H8" s="105"/>
      <c r="I8" s="105"/>
      <c r="J8" s="105"/>
      <c r="K8" s="105"/>
      <c r="L8" s="105"/>
      <c r="M8" s="105"/>
      <c r="N8" s="105"/>
      <c r="O8" s="105"/>
      <c r="P8" s="105"/>
      <c r="Q8" s="105"/>
      <c r="R8" s="105"/>
      <c r="S8" s="105"/>
      <c r="T8" s="105"/>
      <c r="U8" s="105"/>
      <c r="W8" s="18" t="s">
        <v>54</v>
      </c>
      <c r="X8" s="103" t="e">
        <f ca="1">IF(データシート!A21=1,VLOOKUP(X7,データシート!B1:AC56,3,FALSE),IF(データシート!A21=2,VLOOKUP(X7,データシート!B1:AC56,4,FALSE),IF(データシート!A21=3,VLOOKUP(X7,データシート!B1:AC56,5,FALSE),IF(データシート!A21=4,VLOOKUP(X7,データシート!B1:AC56,6,FALSE),IF(データシート!A21=5,VLOOKUP(X7,データシート!B1:AC56,7,FALSE),IF(データシート!A21=6,VLOOKUP(X7,データシート!B1:AC56,8,FALSE),IF(データシート!A21=7,VLOOKUP(X7,データシート!B1:AC56,9,FALSE),IF(データシート!A21=8,VLOOKUP(X7,データシート!B1:AC56,10,FALSE),IF(データシート!A21=9,VLOOKUP(X7,データシート!B1:AC56,11,FALSE),IF(データシート!A21=10,VLOOKUP(X7,データシート!B1:AC56,12,FALSE),IF(データシート!A21=11,VLOOKUP(X7,データシート!B1:AC56,13,FALSE),IF(データシート!A21=12,VLOOKUP(X7,データシート!B1:AC56,14,FALSE),IF(データシート!A21=13,VLOOKUP(X7,データシート!B1:AC56,15,FALSE),IF(データシート!A21=14,VLOOKUP(X7,データシート!B1:AC56,16,FALSE),IF(データシート!A21=15,VLOOKUP(X7,データシート!B1:AC56,17,FALSE),IF(データシート!A21=16,VLOOKUP(X7,データシート!B1:AC56,18,FALSE),IF(データシート!A21=17,VLOOKUP(X7,データシート!B1:AC56,19,FALSE),IF(データシート!A21=18,VLOOKUP(X7,データシート!B1:AC56,20,FALSE),IF(データシート!A21=19,VLOOKUP(X7,データシート!B1:AC56,21,FALSE),IF(データシート!A21=20,VLOOKUP(X7,データシート!B1:AC56,22,FALSE),IF(データシート!A21=21,VLOOKUP(X7,データシート!B1:AC56,23,FALSE),IF(データシート!A21=22,VLOOKUP(X7,データシート!B1:AC56,24,FALSE),IF(データシート!A21=23,VLOOKUP(X7,データシート!B1:AC56,25,FALSE),IF(データシート!A21=24,VLOOKUP(X7,データシート!B1:AC56,26,FALSE),IF(データシート!A21=25,VLOOKUP(X7,データシート!B1:AC56,27,FALSE),IF(データシート!A21=0,VLOOKUP(X7,データシート!B1:AC56,28,FALSE)))))))))))))))))))))))))))</f>
        <v>#VALUE!</v>
      </c>
      <c r="AC8" s="92" t="e">
        <f ca="1">IF(AE8&lt;AF8," ","")</f>
        <v>#VALUE!</v>
      </c>
      <c r="AD8" s="92" t="s">
        <v>86</v>
      </c>
      <c r="AE8" s="91" t="e">
        <f ca="1">VALUE(VLOOKUP($X$8,データシート!$B$69:'データシート'!$W$475,10,FALSE))</f>
        <v>#VALUE!</v>
      </c>
      <c r="AF8" s="92">
        <f>VALUE((データシート!$K$65))</f>
        <v>0.41666666666666669</v>
      </c>
    </row>
    <row r="9" spans="2:32" ht="21" customHeight="1">
      <c r="B9" s="105"/>
      <c r="C9" s="105"/>
      <c r="D9" s="105"/>
      <c r="E9" s="105"/>
      <c r="F9" s="105"/>
      <c r="G9" s="105"/>
      <c r="H9" s="182" t="e">
        <f ca="1">IF(X7="","",X7)</f>
        <v>#VALUE!</v>
      </c>
      <c r="I9" s="182"/>
      <c r="J9" s="182"/>
      <c r="K9" s="182"/>
      <c r="L9" s="182"/>
      <c r="M9" s="105"/>
      <c r="N9" s="105"/>
      <c r="O9" s="107" t="e">
        <f ca="1">IF(X7="","","　 "&amp;VLOOKUP(X7,データシート!B1:AC56,2,FALSE))</f>
        <v>#VALUE!</v>
      </c>
      <c r="P9" s="107"/>
      <c r="Q9" s="107"/>
      <c r="R9" s="107"/>
      <c r="S9" s="107"/>
      <c r="T9" s="107"/>
      <c r="U9" s="105"/>
      <c r="W9" s="18" t="s">
        <v>48</v>
      </c>
      <c r="X9" s="25"/>
      <c r="Y9" s="43" t="s">
        <v>50</v>
      </c>
      <c r="AC9" s="92" t="e">
        <f ca="1">IF(AE9&lt;AF9," ","")</f>
        <v>#VALUE!</v>
      </c>
      <c r="AD9" s="92" t="s">
        <v>30</v>
      </c>
      <c r="AE9" s="91" t="e">
        <f ca="1">VALUE(VLOOKUP($X$8,データシート!$B$69:'データシート'!$W$475,12,FALSE))</f>
        <v>#VALUE!</v>
      </c>
      <c r="AF9" s="92">
        <f>VALUE((データシート!$K$65))</f>
        <v>0.41666666666666669</v>
      </c>
    </row>
    <row r="10" spans="2:32" ht="15.75" customHeight="1">
      <c r="B10" s="105"/>
      <c r="C10" s="105"/>
      <c r="D10" s="105"/>
      <c r="E10" s="105"/>
      <c r="F10" s="105"/>
      <c r="G10" s="105"/>
      <c r="H10" s="105"/>
      <c r="I10" s="105"/>
      <c r="J10" s="105"/>
      <c r="K10" s="105"/>
      <c r="L10" s="105"/>
      <c r="M10" s="105"/>
      <c r="N10" s="105"/>
      <c r="O10" s="105"/>
      <c r="P10" s="105"/>
      <c r="Q10" s="105"/>
      <c r="R10" s="105"/>
      <c r="S10" s="105"/>
      <c r="T10" s="105"/>
      <c r="U10" s="105"/>
      <c r="Y10" s="49"/>
      <c r="AC10" s="92" t="e">
        <f ca="1">IF(AE10&lt;AF10," ","")</f>
        <v>#VALUE!</v>
      </c>
      <c r="AD10" s="92" t="s">
        <v>31</v>
      </c>
      <c r="AE10" s="91" t="e">
        <f ca="1">VALUE(VLOOKUP($X$8,データシート!$B$69:'データシート'!$W$475,13,FALSE))</f>
        <v>#VALUE!</v>
      </c>
      <c r="AF10" s="92">
        <f>VALUE((データシート!$K$65))</f>
        <v>0.41666666666666669</v>
      </c>
    </row>
    <row r="11" spans="2:32" ht="21" customHeight="1">
      <c r="B11" s="105"/>
      <c r="C11" s="105"/>
      <c r="D11" s="105"/>
      <c r="E11" s="105"/>
      <c r="F11" s="108"/>
      <c r="G11" s="163" t="e">
        <f ca="1">IF(データシート２!D47="",データシート２!D3,データシート２!D47)</f>
        <v>#VALUE!</v>
      </c>
      <c r="H11" s="163"/>
      <c r="I11" s="163"/>
      <c r="J11" s="163"/>
      <c r="K11" s="163"/>
      <c r="L11" s="105"/>
      <c r="M11" s="105"/>
      <c r="N11" s="105"/>
      <c r="O11" s="105"/>
      <c r="P11" s="105"/>
      <c r="Q11" s="109"/>
      <c r="R11" s="109"/>
      <c r="S11" s="169" t="e">
        <f ca="1">IF(データシート２!D47="",データシート２!F3,データシート２!F47)</f>
        <v>#VALUE!</v>
      </c>
      <c r="T11" s="169"/>
      <c r="U11" s="169"/>
      <c r="W11" s="18" t="s">
        <v>46</v>
      </c>
      <c r="Y11" s="43" t="s">
        <v>50</v>
      </c>
      <c r="AC11" s="92" t="e">
        <f ca="1">IF(AE11&lt;AF11," ","")</f>
        <v>#VALUE!</v>
      </c>
      <c r="AD11" s="92" t="s">
        <v>32</v>
      </c>
      <c r="AE11" s="91" t="e">
        <f ca="1">VALUE((VLOOKUP($X$8,データシート!$B$69:'データシート'!$W$475,14,FALSE)))</f>
        <v>#VALUE!</v>
      </c>
      <c r="AF11" s="92">
        <f>VALUE((データシート!$K$65))</f>
        <v>0.41666666666666669</v>
      </c>
    </row>
    <row r="12" spans="2:32" ht="16.5" customHeight="1">
      <c r="B12" s="105"/>
      <c r="C12" s="105"/>
      <c r="D12" s="105"/>
      <c r="E12" s="105"/>
      <c r="F12" s="105"/>
      <c r="G12" s="105"/>
      <c r="H12" s="105"/>
      <c r="I12" s="105"/>
      <c r="J12" s="105"/>
      <c r="K12" s="105"/>
      <c r="L12" s="105"/>
      <c r="M12" s="105"/>
      <c r="N12" s="105"/>
      <c r="O12" s="105"/>
      <c r="P12" s="105"/>
      <c r="Q12" s="105"/>
      <c r="R12" s="105"/>
      <c r="S12" s="105"/>
      <c r="T12" s="105"/>
      <c r="U12" s="105"/>
      <c r="W12" s="18" t="s">
        <v>47</v>
      </c>
      <c r="Y12" s="43" t="s">
        <v>50</v>
      </c>
      <c r="Z12" s="42"/>
      <c r="AA12" s="42"/>
      <c r="AB12" s="41"/>
    </row>
    <row r="13" spans="2:32" ht="15.75" customHeight="1">
      <c r="B13" s="105"/>
      <c r="C13" s="105"/>
      <c r="D13" s="105"/>
      <c r="E13" s="105"/>
      <c r="F13" s="108"/>
      <c r="G13" s="163" t="e">
        <f ca="1">IF(データシート２!F47="",データシート２!D3,データシート２!D47)</f>
        <v>#VALUE!</v>
      </c>
      <c r="H13" s="163"/>
      <c r="I13" s="163"/>
      <c r="J13" s="163"/>
      <c r="K13" s="163"/>
      <c r="L13" s="105"/>
      <c r="M13" s="105"/>
      <c r="N13" s="105"/>
      <c r="O13" s="105"/>
      <c r="P13" s="105"/>
      <c r="Q13" s="109"/>
      <c r="S13" s="169" t="e">
        <f ca="1">IF(データシート２!F47="",データシート２!F3,データシート２!F47)</f>
        <v>#VALUE!</v>
      </c>
      <c r="T13" s="169"/>
      <c r="U13" s="169"/>
      <c r="W13" s="62" t="s">
        <v>40</v>
      </c>
      <c r="X13" s="174"/>
      <c r="Y13" s="174"/>
      <c r="Z13" s="129"/>
      <c r="AA13" s="63" t="s">
        <v>90</v>
      </c>
      <c r="AB13" s="43" t="s">
        <v>50</v>
      </c>
      <c r="AC13" s="92" t="e">
        <f>IF(AE13&lt;AF13," ","")</f>
        <v>#VALUE!</v>
      </c>
      <c r="AD13" s="92" t="s">
        <v>85</v>
      </c>
      <c r="AE13" s="91" t="e">
        <f>VALUE(データシート２!I11)</f>
        <v>#VALUE!</v>
      </c>
      <c r="AF13" s="92">
        <f>VALUE((データシート!$K$65))</f>
        <v>0.41666666666666669</v>
      </c>
    </row>
    <row r="14" spans="2:32" ht="17.5" customHeight="1">
      <c r="B14" s="105"/>
      <c r="C14" s="105"/>
      <c r="D14" s="105"/>
      <c r="E14" s="105"/>
      <c r="F14" s="108"/>
      <c r="G14" s="110"/>
      <c r="H14" s="111"/>
      <c r="I14" s="111"/>
      <c r="J14" s="112"/>
      <c r="K14" s="105"/>
      <c r="L14" s="105"/>
      <c r="M14" s="105"/>
      <c r="N14" s="105"/>
      <c r="O14" s="105"/>
      <c r="P14" s="110"/>
      <c r="Q14" s="110"/>
      <c r="R14" s="113"/>
      <c r="S14" s="105"/>
      <c r="T14" s="105"/>
      <c r="U14" s="105"/>
      <c r="W14" s="64" t="s">
        <v>41</v>
      </c>
      <c r="X14" s="158"/>
      <c r="Y14" s="158"/>
      <c r="AA14" s="63"/>
      <c r="AC14" s="92" t="e">
        <f>IF(AE14&lt;AF14," ","")</f>
        <v>#VALUE!</v>
      </c>
      <c r="AD14" s="92" t="s">
        <v>86</v>
      </c>
      <c r="AE14" s="91" t="e">
        <f>VALUE(データシート２!K11)</f>
        <v>#VALUE!</v>
      </c>
      <c r="AF14" s="92">
        <f>VALUE((データシート!$K$65))</f>
        <v>0.41666666666666669</v>
      </c>
    </row>
    <row r="15" spans="2:32" ht="18.75" customHeight="1">
      <c r="B15" s="105"/>
      <c r="C15" s="175" t="e">
        <f ca="1">データシート２!H47</f>
        <v>#VALUE!</v>
      </c>
      <c r="D15" s="175"/>
      <c r="E15" s="175"/>
      <c r="F15" s="175"/>
      <c r="G15" s="157" t="e">
        <f ca="1">IF(X13="",LEFT(TEXT(データシート２!I3,AC7&amp;"H:MM"),2),LEFT(TEXT(データシート２!I47,AC51&amp;"H:MM"),2))</f>
        <v>#VALUE!</v>
      </c>
      <c r="H15" s="157"/>
      <c r="I15" s="157"/>
      <c r="J15" s="171" t="e">
        <f ca="1">IF(X13="",RIGHT(TEXT(データシート２!I3,AC7&amp;"H:MM"),2),RIGHT(TEXT(データシート２!I47,AC51&amp;"H:MM"),2))</f>
        <v>#VALUE!</v>
      </c>
      <c r="K15" s="171"/>
      <c r="L15" s="170" t="e">
        <f ca="1">データシート２!J47</f>
        <v>#VALUE!</v>
      </c>
      <c r="M15" s="170"/>
      <c r="N15" s="170"/>
      <c r="O15" s="105"/>
      <c r="P15" s="157" t="e">
        <f ca="1">IF(X13="",LEFT(TEXT(データシート２!K3,AC8&amp;"H:MM"),2),LEFT(TEXT(データシート２!K47,AA51&amp;"H:MM"),2))</f>
        <v>#VALUE!</v>
      </c>
      <c r="Q15" s="157"/>
      <c r="R15" s="157" t="e">
        <f ca="1">IF(X13="",RIGHT(TEXT(データシート２!K3,AC8&amp;"H:MM"),2),RIGHT(TEXT(データシート２!K47,AA51&amp;"H:MM"),2))&amp;"     "</f>
        <v>#VALUE!</v>
      </c>
      <c r="S15" s="157"/>
      <c r="T15" s="121"/>
      <c r="U15" s="111" t="s">
        <v>205</v>
      </c>
      <c r="W15" s="188" t="s">
        <v>41</v>
      </c>
      <c r="X15" s="158"/>
      <c r="Y15" s="158"/>
      <c r="Z15" s="178"/>
      <c r="AA15" s="60"/>
      <c r="AC15" s="92" t="e">
        <f>IF(AE15&lt;AF15," ","")</f>
        <v>#VALUE!</v>
      </c>
      <c r="AD15" s="92" t="s">
        <v>30</v>
      </c>
      <c r="AE15" s="91" t="e">
        <f>VALUE(データシート２!M11)</f>
        <v>#VALUE!</v>
      </c>
      <c r="AF15" s="92">
        <f>VALUE((データシート!$K$65))</f>
        <v>0.41666666666666669</v>
      </c>
    </row>
    <row r="16" spans="2:32" ht="5.25" customHeight="1">
      <c r="B16" s="105"/>
      <c r="C16" s="175"/>
      <c r="D16" s="175"/>
      <c r="E16" s="175"/>
      <c r="F16" s="175"/>
      <c r="G16" s="105"/>
      <c r="H16" s="105"/>
      <c r="I16" s="105"/>
      <c r="J16" s="105"/>
      <c r="K16" s="105"/>
      <c r="L16" s="170"/>
      <c r="M16" s="170"/>
      <c r="N16" s="170"/>
      <c r="O16" s="105"/>
      <c r="P16" s="105"/>
      <c r="Q16" s="105"/>
      <c r="R16" s="105"/>
      <c r="S16" s="105"/>
      <c r="T16" s="105"/>
      <c r="U16" s="105"/>
      <c r="W16" s="188"/>
      <c r="X16" s="158"/>
      <c r="Y16" s="158"/>
      <c r="Z16" s="178"/>
      <c r="AA16" s="179">
        <f>IF(AND(Y11="YES",Y12="YES"),"0:14",IF(AND(Y11="YES",Y12="NO"),"0:07",IF(AND(Y11="NO",Y12="YES"),"0:07",IF(AND(Y11="NO",Y12="NO"),0))))</f>
        <v>0</v>
      </c>
      <c r="AB16" s="178"/>
      <c r="AC16" s="172" t="e">
        <f>IF(AE16&lt;AF16," ","")</f>
        <v>#VALUE!</v>
      </c>
      <c r="AD16" s="172" t="s">
        <v>31</v>
      </c>
      <c r="AE16" s="172" t="e">
        <f>VALUE(データシート２!N11)</f>
        <v>#VALUE!</v>
      </c>
      <c r="AF16" s="172">
        <f>VALUE((データシート!$K$65))</f>
        <v>0.41666666666666669</v>
      </c>
    </row>
    <row r="17" spans="2:32" ht="5.15" customHeight="1">
      <c r="B17" s="105"/>
      <c r="C17" s="105"/>
      <c r="D17" s="105"/>
      <c r="E17" s="105"/>
      <c r="F17" s="105"/>
      <c r="G17" s="105"/>
      <c r="H17" s="105"/>
      <c r="I17" s="105"/>
      <c r="J17" s="105"/>
      <c r="K17" s="105"/>
      <c r="L17" s="105"/>
      <c r="M17" s="105"/>
      <c r="N17" s="105"/>
      <c r="O17" s="105"/>
      <c r="P17" s="105"/>
      <c r="Q17" s="105"/>
      <c r="R17" s="105"/>
      <c r="S17" s="105"/>
      <c r="T17" s="105"/>
      <c r="U17" s="105"/>
      <c r="W17" s="188" t="s">
        <v>41</v>
      </c>
      <c r="X17" s="159"/>
      <c r="Y17" s="159"/>
      <c r="Z17" s="178"/>
      <c r="AA17" s="179"/>
      <c r="AB17" s="178"/>
      <c r="AC17" s="172"/>
      <c r="AD17" s="172"/>
      <c r="AE17" s="172"/>
      <c r="AF17" s="172"/>
    </row>
    <row r="18" spans="2:32" ht="14.25" customHeight="1">
      <c r="B18" s="105"/>
      <c r="C18" s="105"/>
      <c r="D18" s="176" t="e">
        <f ca="1">IF($X$8="","",IF(OR(データシート２!W3="T",データシート２!W3="B2",データシート２!W3="K2"),LEFT(($X$8),2),LEFT($X$8)))</f>
        <v>#VALUE!</v>
      </c>
      <c r="E18" s="176"/>
      <c r="F18" s="176"/>
      <c r="G18" s="164" t="e">
        <f ca="1">IF($X$8="","",IF(OR(X8=データシート!B122,X8=データシート!B406,データシート２!W3="B2",データシート２!W3="K2"),MID(($X$8),3,2),MID(($X$8),3,1)))</f>
        <v>#VALUE!</v>
      </c>
      <c r="H18" s="164"/>
      <c r="I18" s="114"/>
      <c r="J18" s="105"/>
      <c r="K18" s="156" t="e">
        <f ca="1">IF($X$8="","",データシート２!L3)</f>
        <v>#VALUE!</v>
      </c>
      <c r="L18" s="156"/>
      <c r="M18" s="105"/>
      <c r="N18" s="115" t="e">
        <f ca="1">IF($X$8="","",LEFT(TEXT(VLOOKUP($X$8,データシート!$B$69:'データシート'!$W$475,12,FALSE),(AC9)&amp;"H:MM"),2))</f>
        <v>#VALUE!</v>
      </c>
      <c r="O18" s="116"/>
      <c r="P18" s="116" t="e">
        <f ca="1">IF($X$8="","",RIGHT(TEXT(VLOOKUP($X$8,データシート!$B$69:'データシート'!$W$475,12,FALSE),"H:MM"),2))</f>
        <v>#VALUE!</v>
      </c>
      <c r="Q18" s="166" t="e">
        <f ca="1">IF($X$8="","",LEFT(TEXT(VLOOKUP($X$8,データシート!$B$69:'データシート'!$W$475,14,FALSE),($AC$11)&amp;"H:MM"),2))</f>
        <v>#VALUE!</v>
      </c>
      <c r="R18" s="166"/>
      <c r="S18" s="166" t="e">
        <f ca="1">IF($X$8="","",RIGHT(TEXT(VLOOKUP($X$8,データシート!$B$69:'データシート'!$W$475,14,FALSE),"H:MM"),2))&amp;" "</f>
        <v>#VALUE!</v>
      </c>
      <c r="T18" s="166"/>
      <c r="U18" s="187" t="e">
        <f ca="1">IF($X$8="","",VLOOKUP($X$8,データシート!$B$69:'データシート'!$W$475,15,FALSE ))</f>
        <v>#VALUE!</v>
      </c>
      <c r="W18" s="188"/>
      <c r="X18" s="159"/>
      <c r="Y18" s="159"/>
      <c r="Z18" s="178"/>
      <c r="AB18" s="98">
        <f>IF(AND(Y11="YES",Y12="YES"),5,IF(AND(Y11="YES",Y12="NO"),2.5,IF(AND(Y11="NO",Y12="YES"),2.5,IF(AND(Y11="NO",Y12="NO"),0))))</f>
        <v>0</v>
      </c>
      <c r="AC18" s="92" t="e">
        <f>IF(AE18&lt;AF18," ","")</f>
        <v>#VALUE!</v>
      </c>
      <c r="AD18" s="92" t="s">
        <v>32</v>
      </c>
      <c r="AE18" s="91" t="e">
        <f>VALUE(データシート２!O11)</f>
        <v>#VALUE!</v>
      </c>
      <c r="AF18" s="92">
        <f>VALUE((データシート!$K$65))</f>
        <v>0.41666666666666669</v>
      </c>
    </row>
    <row r="19" spans="2:32" ht="14.25" customHeight="1">
      <c r="B19" s="105"/>
      <c r="C19" s="105"/>
      <c r="D19" s="176"/>
      <c r="E19" s="176"/>
      <c r="F19" s="176"/>
      <c r="G19" s="164"/>
      <c r="H19" s="164"/>
      <c r="I19" s="114"/>
      <c r="J19" s="105"/>
      <c r="K19" s="156"/>
      <c r="L19" s="156"/>
      <c r="M19" s="105"/>
      <c r="N19" s="115" t="e">
        <f ca="1">IF($X$8="","",LEFT(TEXT(VLOOKUP($X$8,データシート!$B$69:'データシート'!$W$475,13,FALSE),($AC$10)&amp;"H:MM"),2))</f>
        <v>#VALUE!</v>
      </c>
      <c r="O19" s="116"/>
      <c r="P19" s="116" t="e">
        <f ca="1">IF($X$8="","",RIGHT(TEXT(VLOOKUP($X$8,データシート!$B$69:'データシート'!$W$475,13,FALSE),"H:MM"),2))</f>
        <v>#VALUE!</v>
      </c>
      <c r="Q19" s="166"/>
      <c r="R19" s="166"/>
      <c r="S19" s="166"/>
      <c r="T19" s="166"/>
      <c r="U19" s="187"/>
      <c r="AA19" s="92" t="str">
        <f>IF(LEN(X13)&gt;=22,"0:0",IF(AND(Y11="YES",Y12="YES",AB13="YES"),"0:39",IF(AND(Y11="YES",Y12="NO",AB13="YES"),"0:32",IF(AND(Y11="NO",Y12="YES",AB13="YES"),"0:32",IF(AND(Y11="NO",Y12="NO",AB13="YES"),"0:25",IF(AND(Y11="YES",Y12="YES",AB13="NO"),"0:34",IF(AND(Y11="YES",Y12="NO",AB13="NO"),"0:27",IF(AND(Y11="NO",Y12="YES",AB13="NO"),"0:27",IF(AND(Y11="NO",Y12="NO",AB13="NO"),"0:20","")))))))))</f>
        <v>0:20</v>
      </c>
    </row>
    <row r="20" spans="2:32" ht="6.75" customHeight="1">
      <c r="B20" s="105"/>
      <c r="C20" s="105"/>
      <c r="D20" s="105"/>
      <c r="E20" s="105"/>
      <c r="F20" s="105"/>
      <c r="G20" s="105"/>
      <c r="H20" s="105"/>
      <c r="I20" s="105"/>
      <c r="J20" s="105"/>
      <c r="K20" s="105"/>
      <c r="L20" s="105"/>
      <c r="M20" s="105"/>
      <c r="N20" s="105"/>
      <c r="O20" s="105"/>
      <c r="P20" s="105"/>
      <c r="Q20" s="105"/>
      <c r="R20" s="105"/>
      <c r="S20" s="105"/>
      <c r="T20" s="105"/>
      <c r="U20" s="105"/>
      <c r="W20" s="33"/>
      <c r="X20" s="189"/>
      <c r="Y20" s="189"/>
    </row>
    <row r="21" spans="2:32" ht="14.25" customHeight="1">
      <c r="B21" s="105"/>
      <c r="C21" s="105"/>
      <c r="D21" s="176" t="str">
        <f>IF(X13="","",IF(OR(データシート２!W6="T",データシート２!W6="Y1",データシート２!W6="Y2",データシート２!W6="Y4",データシート２!W6="Y5",データシート２!W6="K2",データシート２!W6="B2"),LEFT(X13,2),LEFT(X13,1)))</f>
        <v/>
      </c>
      <c r="E21" s="176"/>
      <c r="F21" s="176"/>
      <c r="G21" s="164" t="str">
        <f>IF(X13="","",IF(OR(X13=データシート!B116,X13=データシート!B117,X13=データシート!B118,X13=データシート!B119,X13=データシート!B120,X13=データシート!B121,X13=データシート!B122,X13=データシート!B406,X13=データシート!B448,X13=データシート!B449,X13=データシート!B450,X13=データシート!B451,X13=データシート!B452,X13=データシート!B453,X13=データシート!B454,X13=データシート!B455,X13=データシート!B456,X13=データシート!B457,X13=データシート!B458,X13=データシート!B459,X13=データシート!B460,データシート２!W6="B2"),MID(X13,3,2),IF(データシート２!W6="K2",MID(X13,4,1),MID(X13,3,1))))</f>
        <v/>
      </c>
      <c r="H21" s="164"/>
      <c r="I21" s="114"/>
      <c r="J21" s="105"/>
      <c r="K21" s="156" t="str">
        <f>IF(データシート２!B6="","",データシート２!L11)</f>
        <v/>
      </c>
      <c r="L21" s="156"/>
      <c r="M21" s="105"/>
      <c r="N21" s="115" t="str">
        <f>IF(X13="","",LEFT(TEXT(データシート２!M11,AC15&amp;"H:MM"),2))</f>
        <v/>
      </c>
      <c r="O21" s="116"/>
      <c r="P21" s="116" t="str">
        <f>IF(X13="","",RIGHT(TEXT(データシート２!M11,AC15&amp;"H:MM"),2))</f>
        <v/>
      </c>
      <c r="Q21" s="166" t="str">
        <f>IF(X13="","",LEFT(TEXT(データシート２!O11,AC18&amp;"H:MM"),2))</f>
        <v/>
      </c>
      <c r="R21" s="166"/>
      <c r="S21" s="166" t="str">
        <f>IF(X13="","",RIGHT(TEXT(データシート２!O11,AC18&amp;"H:MM"),2))&amp;" "</f>
        <v xml:space="preserve"> </v>
      </c>
      <c r="T21" s="166"/>
      <c r="U21" s="177" t="str">
        <f>IF(X13="","",データシート２!P11)</f>
        <v/>
      </c>
      <c r="W21" s="18" t="s">
        <v>46</v>
      </c>
      <c r="Y21" s="43" t="s">
        <v>50</v>
      </c>
      <c r="AA21" s="42"/>
    </row>
    <row r="22" spans="2:32" ht="14.25" customHeight="1">
      <c r="B22" s="105"/>
      <c r="C22" s="105"/>
      <c r="D22" s="176"/>
      <c r="E22" s="176"/>
      <c r="F22" s="176"/>
      <c r="G22" s="164"/>
      <c r="H22" s="164"/>
      <c r="I22" s="114"/>
      <c r="J22" s="105"/>
      <c r="K22" s="156"/>
      <c r="L22" s="156"/>
      <c r="M22" s="128"/>
      <c r="N22" s="115" t="str">
        <f>IF(X13="","",LEFT(TEXT(データシート２!N11,AC16&amp;"H:MM"),2))</f>
        <v/>
      </c>
      <c r="O22" s="116"/>
      <c r="P22" s="116" t="str">
        <f>IF(X13="","",RIGHT(TEXT(データシート２!N11,AC16&amp;"H:MM"),2))</f>
        <v/>
      </c>
      <c r="Q22" s="166"/>
      <c r="R22" s="166"/>
      <c r="S22" s="166"/>
      <c r="T22" s="166"/>
      <c r="U22" s="177"/>
      <c r="W22" s="18" t="s">
        <v>47</v>
      </c>
      <c r="Y22" s="43" t="s">
        <v>50</v>
      </c>
    </row>
    <row r="23" spans="2:32" ht="6" customHeight="1">
      <c r="B23" s="105"/>
      <c r="C23" s="105"/>
      <c r="D23" s="105"/>
      <c r="E23" s="105"/>
      <c r="F23" s="105"/>
      <c r="G23" s="105"/>
      <c r="H23" s="105"/>
      <c r="I23" s="105"/>
      <c r="J23" s="105"/>
      <c r="K23" s="105"/>
      <c r="L23" s="105"/>
      <c r="M23" s="105"/>
      <c r="N23" s="105"/>
      <c r="O23" s="105"/>
      <c r="P23" s="105"/>
      <c r="Q23" s="105"/>
      <c r="R23" s="105"/>
      <c r="S23" s="105"/>
      <c r="T23" s="105"/>
      <c r="U23" s="105"/>
      <c r="W23" s="62"/>
      <c r="X23" s="159"/>
      <c r="Y23" s="159"/>
      <c r="AA23" s="42"/>
      <c r="AC23" s="172" t="e">
        <f>IF(AE23&lt;AF23," ","")</f>
        <v>#VALUE!</v>
      </c>
      <c r="AD23" s="172" t="s">
        <v>85</v>
      </c>
      <c r="AE23" s="172" t="e">
        <f>VALUE(データシート２!I21)</f>
        <v>#VALUE!</v>
      </c>
      <c r="AF23" s="172">
        <f>VALUE((データシート!$K$65))</f>
        <v>0.41666666666666669</v>
      </c>
    </row>
    <row r="24" spans="2:32" ht="13.5" customHeight="1">
      <c r="B24" s="105"/>
      <c r="C24" s="105"/>
      <c r="D24" s="176" t="str">
        <f>IF(X24="","",IF(OR(データシート２!W16="T",データシート２!W16="Y1",データシート２!W16="Y2",データシート２!W16="Y4",データシート２!W16="Y5",データシート２!W16="K2",データシート２!W16="B2"),LEFT(X24,2),LEFT(X24,1)))</f>
        <v/>
      </c>
      <c r="E24" s="176"/>
      <c r="F24" s="176"/>
      <c r="G24" s="164" t="str">
        <f>IF(X24="","",IF(OR(X24=データシート!B116,X24=データシート!B117,X24=データシート!B118,X24=データシート!B119,X24=データシート!B120,X24=データシート!B121,X24=データシート!B122,X24=データシート!B406,X24=データシート!B448,X24=データシート!B449,X24=データシート!B450,X24=データシート!B451,X24=データシート!B452,X24=データシート!B453,X24=データシート!B454,X24=データシート!B455,X24=データシート!B456,X24=データシート!B457,X24=データシート!B458,X24=データシート!B459,X24=データシート!B460,データシート２!W9="B2"),MID(X24,3,2),IF(データシート２!W16="K2",MID(X24,4,1),MID(X24,3,1))))</f>
        <v/>
      </c>
      <c r="H24" s="164"/>
      <c r="I24" s="114"/>
      <c r="J24" s="105"/>
      <c r="K24" s="156" t="str">
        <f>IF(データシート２!B16="","",データシート２!L21)</f>
        <v/>
      </c>
      <c r="L24" s="156"/>
      <c r="M24" s="105"/>
      <c r="N24" s="115" t="str">
        <f>IF(X24="","",LEFT(TEXT(データシート２!M21,AC28&amp;"H:MM"),2))</f>
        <v/>
      </c>
      <c r="O24" s="116"/>
      <c r="P24" s="116" t="str">
        <f>IF(X24="","",RIGHT(TEXT(データシート２!M21,AC18&amp;"H:MM"),2))</f>
        <v/>
      </c>
      <c r="Q24" s="166" t="str">
        <f>IF(X24="","",LEFT(TEXT(データシート２!O21,AC31&amp;"H:MM"),2))</f>
        <v/>
      </c>
      <c r="R24" s="166"/>
      <c r="S24" s="166" t="str">
        <f>IF(X24="","",RIGHT(TEXT(データシート２!O21,AC31&amp;"H:MM"),2))&amp;" "</f>
        <v xml:space="preserve"> </v>
      </c>
      <c r="T24" s="166"/>
      <c r="U24" s="177" t="str">
        <f>IF(X24="","",データシート２!P21)</f>
        <v/>
      </c>
      <c r="W24" s="62" t="s">
        <v>42</v>
      </c>
      <c r="X24" s="158"/>
      <c r="Y24" s="158"/>
      <c r="Z24" s="129"/>
      <c r="AA24" s="63" t="s">
        <v>90</v>
      </c>
      <c r="AB24" s="43" t="s">
        <v>50</v>
      </c>
      <c r="AC24" s="172"/>
      <c r="AD24" s="172"/>
      <c r="AE24" s="172"/>
      <c r="AF24" s="172"/>
    </row>
    <row r="25" spans="2:32" ht="12.75" customHeight="1">
      <c r="B25" s="105"/>
      <c r="C25" s="105"/>
      <c r="D25" s="176"/>
      <c r="E25" s="176"/>
      <c r="F25" s="176"/>
      <c r="G25" s="164"/>
      <c r="H25" s="164"/>
      <c r="I25" s="114"/>
      <c r="J25" s="105"/>
      <c r="K25" s="156"/>
      <c r="L25" s="156"/>
      <c r="M25" s="105"/>
      <c r="N25" s="115" t="str">
        <f>IF(X24="","",LEFT(TEXT(データシート２!N21,AC29&amp;"H:MM"),2))</f>
        <v/>
      </c>
      <c r="O25" s="116"/>
      <c r="P25" s="116" t="str">
        <f>IF(X24="","",RIGHT(TEXT(データシート２!N21,AC28&amp;"H:MM"),2))</f>
        <v/>
      </c>
      <c r="Q25" s="166"/>
      <c r="R25" s="166"/>
      <c r="S25" s="166"/>
      <c r="T25" s="166"/>
      <c r="U25" s="177"/>
      <c r="W25" s="188" t="s">
        <v>41</v>
      </c>
      <c r="X25" s="158"/>
      <c r="Y25" s="158"/>
      <c r="Z25" s="178"/>
      <c r="AA25" s="178"/>
      <c r="AB25" s="178"/>
      <c r="AC25" s="172" t="e">
        <f>IF(AE25&lt;AF25," ","")</f>
        <v>#VALUE!</v>
      </c>
      <c r="AD25" s="172" t="s">
        <v>85</v>
      </c>
      <c r="AE25" s="172" t="e">
        <f>VALUE(データシート２!I21)</f>
        <v>#VALUE!</v>
      </c>
      <c r="AF25" s="172">
        <f>VALUE((データシート!$K$65))</f>
        <v>0.41666666666666669</v>
      </c>
    </row>
    <row r="26" spans="2:32" ht="7.5" customHeight="1">
      <c r="B26" s="105"/>
      <c r="C26" s="105"/>
      <c r="D26" s="114"/>
      <c r="E26" s="114"/>
      <c r="F26" s="114"/>
      <c r="G26" s="114"/>
      <c r="H26" s="114"/>
      <c r="I26" s="114"/>
      <c r="J26" s="105"/>
      <c r="K26" s="120"/>
      <c r="L26" s="120"/>
      <c r="M26" s="105"/>
      <c r="N26" s="115"/>
      <c r="O26" s="116"/>
      <c r="P26" s="116"/>
      <c r="Q26" s="117"/>
      <c r="R26" s="117"/>
      <c r="S26" s="118"/>
      <c r="T26" s="121"/>
      <c r="U26" s="121"/>
      <c r="W26" s="188"/>
      <c r="X26" s="158"/>
      <c r="Y26" s="158"/>
      <c r="Z26" s="178"/>
      <c r="AA26" s="178"/>
      <c r="AB26" s="178"/>
      <c r="AC26" s="172"/>
      <c r="AD26" s="172"/>
      <c r="AE26" s="172"/>
      <c r="AF26" s="172"/>
    </row>
    <row r="27" spans="2:32" ht="13" customHeight="1">
      <c r="B27" s="105"/>
      <c r="C27" s="105"/>
      <c r="D27" s="176" t="str">
        <f>IF(X35="","",IF(OR(データシート２!W26="T",データシート２!W26="Y1",データシート２!W26="Y2",データシート２!W26="Y4",データシート２!W26="Y5",データシート２!W26="K2",データシート２!W26="B2"),LEFT(X35,2),LEFT(X35,1)))</f>
        <v/>
      </c>
      <c r="E27" s="176"/>
      <c r="F27" s="176"/>
      <c r="G27" s="164" t="str">
        <f>IF(X35="","",IF(OR(X35=データシート!B116,X35=データシート!B117,X35=データシート!B118,X35=データシート!B119,X35=データシート!B120,X35=データシート!B121,X35=データシート!B122,X35=データシート!B406,X35=データシート!B448,X35=データシート!B449,X35=データシート!B450,X35=データシート!B451,X35=データシート!B452,X35=データシート!B453,X35=データシート!B454,X35=データシート!B455,X35=データシート!B456,X35=データシート!B457,X35=データシート!B458,X35=データシート!B459,X35=データシート!B460,データシート２!W12="B2"),MID(X35,3,2),IF(データシート２!W26="K2",MID(X35,4,1),MID(X35,3,1))))</f>
        <v/>
      </c>
      <c r="H27" s="164"/>
      <c r="I27" s="114"/>
      <c r="J27" s="105"/>
      <c r="K27" s="156" t="str">
        <f>IF(データシート２!B26="","",データシート２!L31)</f>
        <v/>
      </c>
      <c r="L27" s="156"/>
      <c r="M27" s="105"/>
      <c r="N27" s="115" t="str">
        <f>IF(X35="","",LEFT(TEXT(データシート２!M31,AC38&amp;"H:MM"),2))</f>
        <v/>
      </c>
      <c r="O27" s="116"/>
      <c r="P27" s="116" t="str">
        <f>IF(X35="","",RIGHT(TEXT(データシート２!M31,AC39&amp;"H:MM"),2))</f>
        <v/>
      </c>
      <c r="Q27" s="166" t="str">
        <f>IF(X35="","",LEFT(TEXT(データシート２!O31,AC40&amp;"H:MM"),2))</f>
        <v/>
      </c>
      <c r="R27" s="166"/>
      <c r="S27" s="166" t="str">
        <f>IF(X35="","",RIGHT(TEXT(データシート２!O31,AC40&amp;"H:MM"),2))&amp;" "</f>
        <v xml:space="preserve"> </v>
      </c>
      <c r="T27" s="166"/>
      <c r="U27" s="177" t="str">
        <f>IF(X35="","",データシート２!P31)</f>
        <v/>
      </c>
      <c r="W27" s="64" t="s">
        <v>41</v>
      </c>
      <c r="X27" s="158"/>
      <c r="Y27" s="158"/>
      <c r="AA27" s="99">
        <f>IF(AND(Y21="YES",Y22="YES"),"0:14",IF(AND(Y21="YES",Y22="NO"),"0:07",IF(AND(Y21="NO",Y22="YES"),"0:07",IF(AND(Y21="NO",Y22="NO"),0))))</f>
        <v>0</v>
      </c>
      <c r="AC27" s="92" t="e">
        <f>IF(AE27&lt;AF27," ","")</f>
        <v>#VALUE!</v>
      </c>
      <c r="AD27" s="92" t="s">
        <v>86</v>
      </c>
      <c r="AE27" s="92" t="e">
        <f>VALUE(データシート２!K21)</f>
        <v>#VALUE!</v>
      </c>
      <c r="AF27" s="92">
        <f>VALUE((データシート!$K$65))</f>
        <v>0.41666666666666669</v>
      </c>
    </row>
    <row r="28" spans="2:32" ht="15.75" customHeight="1">
      <c r="B28" s="105"/>
      <c r="C28" s="105"/>
      <c r="D28" s="176"/>
      <c r="E28" s="176"/>
      <c r="F28" s="176"/>
      <c r="G28" s="164"/>
      <c r="H28" s="164"/>
      <c r="I28" s="114"/>
      <c r="J28" s="105"/>
      <c r="K28" s="156"/>
      <c r="L28" s="156"/>
      <c r="M28" s="105"/>
      <c r="N28" s="115" t="str">
        <f>IF(X35="","",LEFT(TEXT(データシート２!N31,AC39&amp;"H:MM"),2))</f>
        <v/>
      </c>
      <c r="O28" s="116"/>
      <c r="P28" s="116" t="str">
        <f>IF(X35="","",RIGHT(TEXT(データシート２!N31,AC39&amp;"H:MM"),2))</f>
        <v/>
      </c>
      <c r="Q28" s="166"/>
      <c r="R28" s="166"/>
      <c r="S28" s="166"/>
      <c r="T28" s="166"/>
      <c r="U28" s="177"/>
      <c r="W28" s="64" t="s">
        <v>41</v>
      </c>
      <c r="X28" s="158"/>
      <c r="Y28" s="158"/>
      <c r="AA28" s="99" t="str">
        <f>IF(LEN(X24)&gt;=22,"0:0",IF(AND(Y21="YES",Y22="YES",AB24="YES"),"0:39",IF(AND(Y21="YES",Y22="NO",AB24="YES"),"0:32",IF(AND(Y21="NO",Y22="YES",AB24="YES"),"0:32",IF(AND(Y21="NO",Y22="NO",AB24="YES"),"0:25",IF(AND(Y21="YES",Y22="YES",AB24="NO"),"0:34",IF(AND(Y21="YES",Y22="NO",AB24="NO"),"0:27",IF(AND(Y21="NO",Y22="YES",AB24="NO"),"0:27",IF(AND(Y21="NO",Y22="NO",AB24="NO"),"0:20","")))))))))</f>
        <v>0:20</v>
      </c>
      <c r="AB28" s="98">
        <f>IF(AND(Y21="YES",Y22="YES"),5,IF(AND(Y21="YES",Y22="NO"),2.5,IF(AND(Y21="NO",Y22="YES"),2.5,IF(AND(Y21="NO",Y22="NO"),0))))</f>
        <v>0</v>
      </c>
      <c r="AC28" s="92" t="e">
        <f>IF(AE28&lt;AF28," ","")</f>
        <v>#VALUE!</v>
      </c>
      <c r="AD28" s="92" t="s">
        <v>30</v>
      </c>
      <c r="AE28" s="91" t="e">
        <f>VALUE(データシート２!M21)</f>
        <v>#VALUE!</v>
      </c>
      <c r="AF28" s="92">
        <f>VALUE((データシート!$K$65))</f>
        <v>0.41666666666666669</v>
      </c>
    </row>
    <row r="29" spans="2:32" ht="7.5" customHeight="1">
      <c r="B29" s="105"/>
      <c r="C29" s="105"/>
      <c r="D29" s="114"/>
      <c r="E29" s="114"/>
      <c r="F29" s="114"/>
      <c r="G29" s="114"/>
      <c r="H29" s="114"/>
      <c r="I29" s="114"/>
      <c r="J29" s="105"/>
      <c r="K29" s="120"/>
      <c r="L29" s="120"/>
      <c r="M29" s="105"/>
      <c r="N29" s="115"/>
      <c r="O29" s="116"/>
      <c r="P29" s="185" t="e">
        <f ca="1">IF(データシート２!P50=0,"","通算前日km")</f>
        <v>#VALUE!</v>
      </c>
      <c r="Q29" s="185"/>
      <c r="R29" s="185"/>
      <c r="S29" s="185"/>
      <c r="T29" s="185"/>
      <c r="U29" s="160" t="e">
        <f ca="1">IF(データシート２!P50=0,"",データシート２!R47)</f>
        <v>#VALUE!</v>
      </c>
      <c r="W29" s="85"/>
      <c r="AA29" s="178"/>
      <c r="AB29" s="178"/>
      <c r="AC29" s="172" t="e">
        <f>IF(AE29&lt;AF29," ","")</f>
        <v>#VALUE!</v>
      </c>
      <c r="AD29" s="172" t="s">
        <v>31</v>
      </c>
      <c r="AE29" s="172" t="e">
        <f>VALUE(データシート２!N21)</f>
        <v>#VALUE!</v>
      </c>
      <c r="AF29" s="172">
        <f>VALUE((データシート!$K$65))</f>
        <v>0.41666666666666669</v>
      </c>
    </row>
    <row r="30" spans="2:32" ht="5.25" customHeight="1">
      <c r="B30" s="105"/>
      <c r="C30" s="105"/>
      <c r="D30" s="105"/>
      <c r="E30" s="105"/>
      <c r="F30" s="105"/>
      <c r="G30" s="105"/>
      <c r="H30" s="105"/>
      <c r="I30" s="105"/>
      <c r="J30" s="105"/>
      <c r="K30" s="105"/>
      <c r="L30" s="105"/>
      <c r="M30" s="105"/>
      <c r="N30" s="105"/>
      <c r="O30" s="105"/>
      <c r="P30" s="185"/>
      <c r="Q30" s="185"/>
      <c r="R30" s="185"/>
      <c r="S30" s="185"/>
      <c r="T30" s="185"/>
      <c r="U30" s="160"/>
      <c r="W30" s="85"/>
      <c r="AA30" s="178"/>
      <c r="AB30" s="178"/>
      <c r="AC30" s="172"/>
      <c r="AD30" s="172"/>
      <c r="AE30" s="172"/>
      <c r="AF30" s="172"/>
    </row>
    <row r="31" spans="2:32" ht="14.25" customHeight="1">
      <c r="B31" s="105"/>
      <c r="C31" s="105"/>
      <c r="D31" s="105"/>
      <c r="E31" s="167" t="str">
        <f>IF(Y9="NO","",L15)</f>
        <v/>
      </c>
      <c r="F31" s="167"/>
      <c r="G31" s="167"/>
      <c r="H31" s="167"/>
      <c r="I31" s="122"/>
      <c r="J31" s="105"/>
      <c r="K31" s="105"/>
      <c r="L31" s="105"/>
      <c r="M31" s="165" t="e">
        <f ca="1">IF(データシート!H65&gt;0,"",データシート!H66)</f>
        <v>#VALUE!</v>
      </c>
      <c r="N31" s="165"/>
      <c r="O31" s="105"/>
      <c r="P31" s="105"/>
      <c r="Q31" s="168" t="e">
        <f ca="1">LEFT(TEXT(データシート２!O47,AC52&amp;"H:MM"),2)</f>
        <v>#VALUE!</v>
      </c>
      <c r="R31" s="168"/>
      <c r="S31" s="168"/>
      <c r="T31" s="117" t="e">
        <f ca="1">RIGHT(TEXT(データシート２!O47,AC52&amp;"H:MM"),2)</f>
        <v>#VALUE!</v>
      </c>
      <c r="U31" s="119" t="e">
        <f ca="1">IF(データシート２!S47="",データシート２!P47,データシート２!S47)</f>
        <v>#VALUE!</v>
      </c>
      <c r="V31" s="101" t="e">
        <f ca="1">IF(U31&gt;200,"   ←キロオーバーが出ています","")</f>
        <v>#VALUE!</v>
      </c>
      <c r="W31" s="93"/>
      <c r="AC31" s="92" t="e">
        <f>IF(AE31&lt;AF31," ","")</f>
        <v>#VALUE!</v>
      </c>
      <c r="AD31" s="92" t="s">
        <v>156</v>
      </c>
      <c r="AE31" s="92" t="e">
        <f>VALUE(データシート２!O21)</f>
        <v>#VALUE!</v>
      </c>
      <c r="AF31" s="92">
        <f>VALUE((データシート!$K$65))</f>
        <v>0.41666666666666669</v>
      </c>
    </row>
    <row r="32" spans="2:32" ht="11.15" customHeight="1">
      <c r="B32" s="105"/>
      <c r="C32" s="105"/>
      <c r="D32" s="105"/>
      <c r="E32" s="105"/>
      <c r="F32" s="105"/>
      <c r="G32" s="105"/>
      <c r="H32" s="105"/>
      <c r="I32" s="105"/>
      <c r="J32" s="105"/>
      <c r="K32" s="105"/>
      <c r="L32" s="105"/>
      <c r="M32" s="105"/>
      <c r="N32" s="105"/>
      <c r="O32" s="105"/>
      <c r="P32" s="105"/>
      <c r="Q32" s="105"/>
      <c r="R32" s="105"/>
      <c r="S32" s="105"/>
      <c r="T32" s="105"/>
      <c r="U32" s="105"/>
      <c r="W32" s="35"/>
    </row>
    <row r="33" spans="2:32" ht="15.75" customHeight="1">
      <c r="B33" s="105"/>
      <c r="C33" s="105"/>
      <c r="D33" s="105"/>
      <c r="E33" s="162"/>
      <c r="F33" s="162"/>
      <c r="G33" s="162"/>
      <c r="H33" s="162"/>
      <c r="I33" s="123"/>
      <c r="J33" s="105"/>
      <c r="K33" s="105"/>
      <c r="L33" s="105"/>
      <c r="M33" s="105"/>
      <c r="N33" s="105"/>
      <c r="O33" s="105"/>
      <c r="P33" s="105"/>
      <c r="Q33" s="116"/>
      <c r="R33" s="105"/>
      <c r="S33" s="117"/>
      <c r="T33" s="116"/>
      <c r="U33" s="116"/>
      <c r="W33" s="18" t="s">
        <v>46</v>
      </c>
      <c r="Y33" s="43" t="s">
        <v>50</v>
      </c>
    </row>
    <row r="34" spans="2:32" ht="17.5" customHeight="1">
      <c r="B34" s="105"/>
      <c r="C34" s="105"/>
      <c r="D34" s="105"/>
      <c r="E34" s="105"/>
      <c r="F34" s="105"/>
      <c r="G34" s="105"/>
      <c r="H34" s="105"/>
      <c r="I34" s="105"/>
      <c r="J34" s="105"/>
      <c r="K34" s="105"/>
      <c r="L34" s="105"/>
      <c r="M34" s="105"/>
      <c r="N34" s="105"/>
      <c r="O34" s="105"/>
      <c r="P34" s="105"/>
      <c r="Q34" s="105"/>
      <c r="R34" s="105"/>
      <c r="S34" s="105"/>
      <c r="T34" s="105"/>
      <c r="U34" s="105"/>
      <c r="W34" s="18" t="s">
        <v>47</v>
      </c>
      <c r="Y34" s="43" t="s">
        <v>50</v>
      </c>
      <c r="Z34" s="42"/>
    </row>
    <row r="35" spans="2:32" ht="15" customHeight="1">
      <c r="B35" s="105"/>
      <c r="C35" s="105"/>
      <c r="D35" s="105"/>
      <c r="E35" s="105"/>
      <c r="F35" s="105"/>
      <c r="G35" s="105"/>
      <c r="H35" s="161" t="e">
        <f ca="1">"   "&amp;IF(データシート２!AC47=0,"",IF(データシート２!AC47&lt;データシート!$K$65,LEFT(TEXT(データシート２!AC47,"h:mm"),1),LEFT(TEXT(データシート２!AC47,"h:mm"),2)))</f>
        <v>#VALUE!</v>
      </c>
      <c r="I35" s="161"/>
      <c r="J35" s="161"/>
      <c r="K35" s="161"/>
      <c r="L35" s="184" t="e">
        <f ca="1">"     "&amp;IF(データシート２!AC47=0,"",RIGHT(TEXT(データシート２!AC47,"h:mm"),2))</f>
        <v>#VALUE!</v>
      </c>
      <c r="M35" s="184"/>
      <c r="N35" s="184"/>
      <c r="O35" s="124"/>
      <c r="P35" s="105"/>
      <c r="Q35" s="105"/>
      <c r="R35" s="176" t="e">
        <f ca="1">"   "&amp;IF(データシート２!Z3=0,"",LEFT(TEXT(データシート２!Z3,"h:mm"),1))</f>
        <v>#VALUE!</v>
      </c>
      <c r="S35" s="176"/>
      <c r="T35" s="105"/>
      <c r="U35" s="183" t="e">
        <f ca="1">"  "&amp;IF(データシート２!Z3=0,"",RIGHT(TEXT(データシート２!Z3,"h:mm"),2))</f>
        <v>#VALUE!</v>
      </c>
      <c r="W35" s="62" t="s">
        <v>78</v>
      </c>
      <c r="X35" s="158"/>
      <c r="Y35" s="158"/>
      <c r="Z35" s="129"/>
      <c r="AA35" s="63" t="s">
        <v>90</v>
      </c>
      <c r="AB35" s="43" t="s">
        <v>50</v>
      </c>
      <c r="AC35" s="92" t="e">
        <f t="shared" ref="AC35:AC40" si="0">IF(AE35&lt;AF35," ","")</f>
        <v>#VALUE!</v>
      </c>
      <c r="AD35" s="92" t="s">
        <v>85</v>
      </c>
      <c r="AE35" s="91" t="e">
        <f>VALUE(データシート２!I31)</f>
        <v>#VALUE!</v>
      </c>
      <c r="AF35" s="92">
        <f>VALUE((データシート!$K$65))</f>
        <v>0.41666666666666669</v>
      </c>
    </row>
    <row r="36" spans="2:32" ht="17.25" customHeight="1">
      <c r="B36" s="105"/>
      <c r="C36" s="105"/>
      <c r="D36" s="105"/>
      <c r="E36" s="105"/>
      <c r="F36" s="105"/>
      <c r="G36" s="105"/>
      <c r="H36" s="161"/>
      <c r="I36" s="161"/>
      <c r="J36" s="161"/>
      <c r="K36" s="161"/>
      <c r="L36" s="184"/>
      <c r="M36" s="184"/>
      <c r="N36" s="184"/>
      <c r="O36" s="105"/>
      <c r="P36" s="105"/>
      <c r="Q36" s="105"/>
      <c r="R36" s="176"/>
      <c r="S36" s="176"/>
      <c r="T36" s="105"/>
      <c r="U36" s="183"/>
      <c r="W36" s="64" t="s">
        <v>41</v>
      </c>
      <c r="X36" s="158"/>
      <c r="Y36" s="158"/>
      <c r="AA36" s="63"/>
      <c r="AB36" s="68"/>
      <c r="AC36" s="92" t="e">
        <f t="shared" si="0"/>
        <v>#VALUE!</v>
      </c>
      <c r="AD36" s="92" t="s">
        <v>86</v>
      </c>
      <c r="AE36" s="91" t="e">
        <f>VALUE(データシート２!K31)</f>
        <v>#VALUE!</v>
      </c>
      <c r="AF36" s="92">
        <f>VALUE((データシート!$K$65))</f>
        <v>0.41666666666666669</v>
      </c>
    </row>
    <row r="37" spans="2:32" ht="16" customHeight="1">
      <c r="B37" s="105"/>
      <c r="C37" s="105"/>
      <c r="D37" s="105"/>
      <c r="E37" s="105"/>
      <c r="F37" s="105"/>
      <c r="G37" s="105"/>
      <c r="H37" s="155"/>
      <c r="I37" s="155"/>
      <c r="J37" s="155"/>
      <c r="K37" s="155"/>
      <c r="L37" s="105"/>
      <c r="M37" s="105"/>
      <c r="N37" s="105"/>
      <c r="O37" s="105"/>
      <c r="P37" s="105"/>
      <c r="Q37" s="105"/>
      <c r="R37" s="186" t="str">
        <f>"   "&amp;IF(データシート２!AB47=0,"",LEFT(TEXT(データシート２!AB47,"h:mm"),1))</f>
        <v xml:space="preserve">   </v>
      </c>
      <c r="S37" s="186"/>
      <c r="T37" s="105"/>
      <c r="U37" s="184" t="str">
        <f>"  "&amp;IF(データシート２!AB47=0,"",RIGHT(TEXT(データシート２!AB47,"h:mm"),2))</f>
        <v xml:space="preserve">  </v>
      </c>
      <c r="W37" s="64" t="s">
        <v>41</v>
      </c>
      <c r="X37" s="158"/>
      <c r="Y37" s="158"/>
      <c r="AA37" s="99">
        <f>IF(AND(Y33="YES",Y34="YES"),"0:14",IF(AND(Y33="YES",Y34="NO"),"0:07",IF(AND(Y33="NO",Y34="YES"),"0:07",IF(AND(Y33="NO",Y34="NO"),0))))</f>
        <v>0</v>
      </c>
      <c r="AC37" s="92" t="e">
        <f t="shared" si="0"/>
        <v>#VALUE!</v>
      </c>
      <c r="AD37" s="92" t="s">
        <v>86</v>
      </c>
      <c r="AE37" s="92" t="e">
        <f>VALUE(データシート２!K31)</f>
        <v>#VALUE!</v>
      </c>
      <c r="AF37" s="92">
        <f>VALUE((データシート!$K$65))</f>
        <v>0.41666666666666669</v>
      </c>
    </row>
    <row r="38" spans="2:32" ht="17.25" customHeight="1">
      <c r="B38" s="105"/>
      <c r="C38" s="105"/>
      <c r="D38" s="105"/>
      <c r="E38" s="105"/>
      <c r="F38" s="105"/>
      <c r="G38" s="105"/>
      <c r="H38" s="155"/>
      <c r="I38" s="155"/>
      <c r="J38" s="155"/>
      <c r="K38" s="155"/>
      <c r="L38" s="105"/>
      <c r="M38" s="105"/>
      <c r="N38" s="105"/>
      <c r="O38" s="105"/>
      <c r="P38" s="105"/>
      <c r="Q38" s="105"/>
      <c r="R38" s="186"/>
      <c r="S38" s="186"/>
      <c r="T38" s="105"/>
      <c r="U38" s="184"/>
      <c r="W38" s="64" t="s">
        <v>41</v>
      </c>
      <c r="X38" s="158"/>
      <c r="Y38" s="158"/>
      <c r="AA38" s="92" t="str">
        <f>IF(LEN(X35)&gt;=22,"0:0",IF(AND(Y33="YES",Y34="YES",AB35="YES"),"0:39",IF(AND(Y33="YES",Y34="NO",AB35="YES"),"0:32",IF(AND(Y33="NO",Y34="YES",AB35="YES"),"0:32",IF(AND(Y33="NO",Y34="NO",AB35="YES"),"0:25",IF(AND(Y33="YES",Y34="YES",AB35="NO"),"0:34",IF(AND(Y33="YES",Y34="NO",AB35="NO"),"0:27",IF(AND(Y33="NO",Y34="YES",AB35="NO"),"0:27",IF(AND(Y33="NO",Y34="NO",AB35="NO"),"0:20","")))))))))</f>
        <v>0:20</v>
      </c>
      <c r="AB38" s="98">
        <f>IF(AND(Y33="YES",Y34="YES"),5,IF(AND(Y33="YES",Y34="NO"),2.5,IF(AND(Y33="NO",Y34="YES"),2.5,IF(AND(Y33="NO",Y34="NO"),0))))</f>
        <v>0</v>
      </c>
      <c r="AC38" s="92" t="e">
        <f t="shared" si="0"/>
        <v>#VALUE!</v>
      </c>
      <c r="AD38" s="92" t="s">
        <v>30</v>
      </c>
      <c r="AE38" s="91" t="e">
        <f>VALUE(データシート２!M31)</f>
        <v>#VALUE!</v>
      </c>
      <c r="AF38" s="92">
        <f>VALUE((データシート!$K$65))</f>
        <v>0.41666666666666669</v>
      </c>
    </row>
    <row r="39" spans="2:32" ht="24" customHeight="1">
      <c r="B39" s="105"/>
      <c r="C39" s="105"/>
      <c r="D39" s="105"/>
      <c r="E39" s="105"/>
      <c r="F39" s="105"/>
      <c r="G39" s="105"/>
      <c r="H39" s="161" t="e">
        <f ca="1">"    "&amp;IF(データシート２!X48="","",IF(データシート２!X48&lt;データシート!$K$65,LEFT(TEXT(データシート２!X48,"h:mm"),1),LEFT(TEXT(データシート２!X48,"h:mm"),2)))</f>
        <v>#VALUE!</v>
      </c>
      <c r="I39" s="161"/>
      <c r="J39" s="161"/>
      <c r="K39" s="161"/>
      <c r="L39" s="184" t="e">
        <f ca="1">"     "&amp;IF(データシート２!X48="","",RIGHT(TEXT(データシート２!X48,"h:mm"),2))</f>
        <v>#VALUE!</v>
      </c>
      <c r="M39" s="184"/>
      <c r="N39" s="184"/>
      <c r="O39" s="105"/>
      <c r="P39" s="105"/>
      <c r="Q39" s="105"/>
      <c r="R39" s="105"/>
      <c r="S39" s="105"/>
      <c r="T39" s="105"/>
      <c r="U39" s="105"/>
      <c r="AC39" s="92" t="e">
        <f t="shared" si="0"/>
        <v>#VALUE!</v>
      </c>
      <c r="AD39" s="92" t="s">
        <v>31</v>
      </c>
      <c r="AE39" s="92" t="e">
        <f>VALUE(データシート２!N31)</f>
        <v>#VALUE!</v>
      </c>
      <c r="AF39" s="92">
        <f>VALUE((データシート!$K$65))</f>
        <v>0.41666666666666669</v>
      </c>
    </row>
    <row r="40" spans="2:32" ht="15" customHeight="1">
      <c r="B40" s="105"/>
      <c r="C40" s="105"/>
      <c r="D40" s="105"/>
      <c r="E40" s="105"/>
      <c r="F40" s="105"/>
      <c r="G40" s="105"/>
      <c r="H40" s="161"/>
      <c r="I40" s="161"/>
      <c r="J40" s="161"/>
      <c r="K40" s="161"/>
      <c r="L40" s="184"/>
      <c r="M40" s="184"/>
      <c r="N40" s="184"/>
      <c r="O40" s="105"/>
      <c r="P40" s="105"/>
      <c r="Q40" s="105"/>
      <c r="R40" s="105"/>
      <c r="S40" s="105"/>
      <c r="T40" s="105"/>
      <c r="U40" s="105"/>
      <c r="AC40" s="92" t="e">
        <f t="shared" si="0"/>
        <v>#VALUE!</v>
      </c>
      <c r="AD40" s="92" t="s">
        <v>156</v>
      </c>
      <c r="AE40" s="92" t="e">
        <f>VALUE(データシート２!O31)</f>
        <v>#VALUE!</v>
      </c>
      <c r="AF40" s="92">
        <f>VALUE((データシート!$K$65))</f>
        <v>0.41666666666666669</v>
      </c>
    </row>
    <row r="41" spans="2:32" ht="18" customHeight="1">
      <c r="B41" s="105"/>
      <c r="C41" s="105"/>
      <c r="D41" s="105"/>
      <c r="E41" s="105" t="str">
        <f>IF(AB54="YES",X54,IF(AB55="YES",X55,IF(AB56="YES",X56,IF(AB57="YES",X57,""))))</f>
        <v/>
      </c>
      <c r="F41" s="105"/>
      <c r="G41" s="105"/>
      <c r="H41" s="105"/>
      <c r="I41" s="105"/>
      <c r="J41" s="105"/>
      <c r="K41" s="105"/>
      <c r="L41" s="105"/>
      <c r="M41" s="105"/>
      <c r="N41" s="105"/>
      <c r="O41" s="105"/>
      <c r="P41" s="105"/>
      <c r="Q41" s="105"/>
      <c r="R41" s="105"/>
      <c r="S41" s="105"/>
      <c r="T41" s="105"/>
      <c r="U41" s="105"/>
      <c r="W41" s="18" t="s">
        <v>46</v>
      </c>
      <c r="Y41" s="43" t="s">
        <v>50</v>
      </c>
    </row>
    <row r="42" spans="2:32">
      <c r="B42" s="105"/>
      <c r="C42" s="105"/>
      <c r="D42" s="105"/>
      <c r="E42" s="105" t="str">
        <f>IF(AND(E41&lt;&gt;"",AB54="YES",AB55="YES"),X55,IF(AND(E41&lt;&gt;"",AB54="YES",AB56="YES"),X56,IF(AND(E41&lt;&gt;"",AB54="YES",AB57="YES"),X57,IF(AND(E41&lt;&gt;"",AB55="YES",AB56="YES"),X56,IF(AND(E41&lt;&gt;"",AB55="YES",AB57="YES"),X57,IF(AND(E41&lt;&gt;"",AB56="YES",AB57="YES"),X57,""))))))</f>
        <v/>
      </c>
      <c r="F42" s="105"/>
      <c r="G42" s="105"/>
      <c r="H42" s="105"/>
      <c r="I42" s="105"/>
      <c r="J42" s="105"/>
      <c r="K42" s="105"/>
      <c r="L42" s="105"/>
      <c r="M42" s="105"/>
      <c r="N42" s="105"/>
      <c r="O42" s="105"/>
      <c r="P42" s="105"/>
      <c r="Q42" s="105"/>
      <c r="R42" s="105" t="e">
        <f ca="1">IF(データシート２!R52="","",データシート２!R52)</f>
        <v>#VALUE!</v>
      </c>
      <c r="S42" s="105"/>
      <c r="T42" s="105"/>
      <c r="U42" s="105"/>
      <c r="W42" s="18" t="s">
        <v>47</v>
      </c>
      <c r="Y42" s="43" t="s">
        <v>50</v>
      </c>
      <c r="Z42" s="42"/>
    </row>
    <row r="43" spans="2:32" ht="14">
      <c r="B43" s="105"/>
      <c r="C43" s="105"/>
      <c r="D43" s="105"/>
      <c r="E43" s="105" t="str">
        <f>IF(AND(E42&lt;&gt;"",AB54="YES",AB55="YES",AB56="YES"),X56,IF(AND(E42&lt;&gt;"",AB54="YES",AB55="YES",AB57="YES"),X57,IF(AND(E42&lt;&gt;"",AB54="YES",AB56="YES",AB57="YES"),X57,IF(AND(E42&lt;&gt;"",AB55="YES",AB56="YES",AB57="YES"),X57,""))))</f>
        <v/>
      </c>
      <c r="F43" s="105"/>
      <c r="G43" s="105"/>
      <c r="H43" s="105"/>
      <c r="I43" s="105"/>
      <c r="J43" s="105"/>
      <c r="K43" s="105"/>
      <c r="L43" s="105"/>
      <c r="M43" s="105"/>
      <c r="N43" s="105"/>
      <c r="O43" s="105"/>
      <c r="P43" s="105"/>
      <c r="Q43" s="105"/>
      <c r="R43" s="105" t="e">
        <f ca="1">IF(データシート２!R53="","",データシート２!R53)</f>
        <v>#VALUE!</v>
      </c>
      <c r="S43" s="105"/>
      <c r="T43" s="105"/>
      <c r="U43" s="105"/>
      <c r="W43" s="62" t="s">
        <v>89</v>
      </c>
      <c r="X43" s="158"/>
      <c r="Y43" s="158"/>
      <c r="Z43" s="42"/>
      <c r="AA43" s="63" t="s">
        <v>90</v>
      </c>
      <c r="AB43" s="43" t="s">
        <v>50</v>
      </c>
      <c r="AC43" s="92" t="e">
        <f>IF(AE43&lt;AF43," ","")</f>
        <v>#VALUE!</v>
      </c>
      <c r="AD43" s="92" t="s">
        <v>85</v>
      </c>
      <c r="AE43" s="91" t="e">
        <f>VALUE(データシート２!I41)</f>
        <v>#VALUE!</v>
      </c>
      <c r="AF43" s="92">
        <f>VALUE((データシート!$K$65))</f>
        <v>0.41666666666666669</v>
      </c>
    </row>
    <row r="44" spans="2:32" ht="14">
      <c r="B44" s="105"/>
      <c r="C44" s="105"/>
      <c r="D44" s="105"/>
      <c r="E44" s="105" t="str">
        <f>IF(AND(E43&lt;&gt;"",AB54="YES",AB55="YES",AB56="YES",AB57="YES"),X57,"")</f>
        <v/>
      </c>
      <c r="F44" s="105"/>
      <c r="G44" s="105"/>
      <c r="H44" s="105"/>
      <c r="I44" s="105"/>
      <c r="J44" s="105"/>
      <c r="K44" s="105"/>
      <c r="L44" s="105"/>
      <c r="M44" s="105"/>
      <c r="N44" s="105"/>
      <c r="O44" s="105"/>
      <c r="P44" s="105"/>
      <c r="Q44" s="105"/>
      <c r="R44" s="105"/>
      <c r="S44" s="105"/>
      <c r="T44" s="105"/>
      <c r="U44" s="105"/>
      <c r="W44" s="64" t="s">
        <v>41</v>
      </c>
      <c r="X44" s="158"/>
      <c r="Y44" s="158"/>
      <c r="AC44" s="92" t="e">
        <f>IF(AE44&lt;AF44," ","")</f>
        <v>#VALUE!</v>
      </c>
      <c r="AD44" s="92" t="s">
        <v>86</v>
      </c>
      <c r="AE44" s="91" t="e">
        <f>VALUE(データシート２!K41)</f>
        <v>#VALUE!</v>
      </c>
      <c r="AF44" s="92">
        <f>VALUE((データシート!$K$65))</f>
        <v>0.41666666666666669</v>
      </c>
    </row>
    <row r="45" spans="2:32" ht="14">
      <c r="B45" s="105"/>
      <c r="C45" s="105"/>
      <c r="D45" s="105"/>
      <c r="E45" s="105"/>
      <c r="F45" s="105"/>
      <c r="G45" s="105"/>
      <c r="H45" s="105"/>
      <c r="I45" s="105"/>
      <c r="J45" s="105"/>
      <c r="K45" s="105"/>
      <c r="L45" s="105"/>
      <c r="M45" s="105"/>
      <c r="N45" s="105"/>
      <c r="O45" s="105"/>
      <c r="P45" s="105"/>
      <c r="Q45" s="105"/>
      <c r="R45" s="105"/>
      <c r="S45" s="105"/>
      <c r="T45" s="105"/>
      <c r="U45" s="105"/>
      <c r="W45" s="64" t="s">
        <v>41</v>
      </c>
      <c r="X45" s="158"/>
      <c r="Y45" s="158"/>
      <c r="AA45" s="99">
        <f>IF(AND(Y41="YES",Y42="YES"),"0:14",IF(AND(Y41="YES",Y42="NO"),"0:07",IF(AND(Y41="NO",Y42="YES"),"0:07",IF(AND(Y41="NO",Y42="NO"),0))))</f>
        <v>0</v>
      </c>
      <c r="AC45" s="92" t="e">
        <f>IF(AE45&lt;AF45," ","")</f>
        <v>#VALUE!</v>
      </c>
      <c r="AD45" s="92" t="s">
        <v>30</v>
      </c>
      <c r="AE45" s="91" t="e">
        <f>VALUE(データシート２!M41)</f>
        <v>#VALUE!</v>
      </c>
      <c r="AF45" s="92">
        <f>VALUE((データシート!$K$65))</f>
        <v>0.41666666666666669</v>
      </c>
    </row>
    <row r="46" spans="2:32" ht="14">
      <c r="B46" s="105"/>
      <c r="C46" s="105"/>
      <c r="D46" s="105"/>
      <c r="E46" s="105"/>
      <c r="F46" s="105"/>
      <c r="G46" s="105"/>
      <c r="H46" s="105"/>
      <c r="I46" s="105"/>
      <c r="J46" s="105"/>
      <c r="K46" s="105"/>
      <c r="L46" s="105"/>
      <c r="M46" s="105"/>
      <c r="N46" s="105"/>
      <c r="O46" s="105"/>
      <c r="P46" s="105"/>
      <c r="Q46" s="105"/>
      <c r="R46" s="105"/>
      <c r="S46" s="105"/>
      <c r="T46" s="105"/>
      <c r="U46" s="105"/>
      <c r="W46" s="64" t="s">
        <v>41</v>
      </c>
      <c r="X46" s="158"/>
      <c r="Y46" s="158"/>
      <c r="AA46" s="92" t="str">
        <f>IF(AND(Y41="YES",Y42="YES",AB43="YES"),"0:39",IF(AND(Y41="YES",Y42="NO",AB43="YES"),"0:32",IF(AND(Y41="NO",Y42="YES",AB43="YES"),"0:32",IF(AND(Y41="NO",Y42="NO",AB43="YES"),"0:25",IF(AND(Y41="YES",Y42="YES",AB43="NO"),"0:34",IF(AND(Y41="YES",Y42="NO",AB43="NO"),"0:27",IF(AND(Y41="NO",Y42="YES",AB43="NO"),"0:27",IF(AND(Y41="NO",Y42="NO",AB43="NO"),"0:20",""))))))))</f>
        <v>0:20</v>
      </c>
      <c r="AB46" s="98">
        <f>IF(AND(Y41="YES",Y42="YES"),5,IF(AND(Y41="YES",Y42="NO"),2.5,IF(AND(Y41="NO",Y42="YES"),2.5,IF(AND(Y41="NO",Y42="NO"),0))))</f>
        <v>0</v>
      </c>
      <c r="AC46" s="92" t="e">
        <f>IF(AE46&lt;AF46," ","")</f>
        <v>#VALUE!</v>
      </c>
      <c r="AD46" s="92" t="s">
        <v>31</v>
      </c>
      <c r="AE46" s="92" t="e">
        <f>VALUE(データシート２!N41)</f>
        <v>#VALUE!</v>
      </c>
      <c r="AF46" s="92">
        <f>VALUE((データシート!$K$65))</f>
        <v>0.41666666666666669</v>
      </c>
    </row>
    <row r="47" spans="2:32">
      <c r="B47" s="105"/>
      <c r="C47" s="105"/>
      <c r="D47" s="105"/>
      <c r="E47" s="105"/>
      <c r="F47" s="105"/>
      <c r="G47" s="105"/>
      <c r="H47" s="105"/>
      <c r="I47" s="105"/>
      <c r="J47" s="105"/>
      <c r="K47" s="105"/>
      <c r="L47" s="105"/>
      <c r="M47" s="105"/>
      <c r="N47" s="105"/>
      <c r="O47" s="105"/>
      <c r="P47" s="105"/>
      <c r="Q47" s="105"/>
      <c r="R47" s="105"/>
      <c r="S47" s="105"/>
      <c r="T47" s="105"/>
      <c r="U47" s="105"/>
      <c r="AC47" s="92" t="e">
        <f>IF(AE47&lt;AF47," ","")</f>
        <v>#VALUE!</v>
      </c>
      <c r="AD47" s="92" t="s">
        <v>32</v>
      </c>
      <c r="AE47" s="91" t="e">
        <f>VALUE(データシート２!O41)</f>
        <v>#VALUE!</v>
      </c>
      <c r="AF47" s="92">
        <f>VALUE((データシート!$K$65))</f>
        <v>0.41666666666666669</v>
      </c>
    </row>
    <row r="48" spans="2:32">
      <c r="B48" s="105"/>
      <c r="C48" s="105"/>
      <c r="D48" s="105"/>
      <c r="E48" s="105"/>
      <c r="F48" s="105"/>
      <c r="G48" s="105"/>
      <c r="H48" s="105"/>
      <c r="I48" s="105"/>
      <c r="J48" s="105"/>
      <c r="K48" s="105"/>
      <c r="L48" s="105"/>
      <c r="M48" s="105"/>
      <c r="N48" s="105"/>
      <c r="O48" s="105"/>
      <c r="P48" s="105"/>
      <c r="Q48" s="105"/>
      <c r="R48" s="105"/>
      <c r="S48" s="105"/>
      <c r="T48" s="105"/>
      <c r="U48" s="105"/>
    </row>
    <row r="51" spans="23:32">
      <c r="AC51" s="92" t="e">
        <f ca="1">IF(AE51&lt;AF51," ","")</f>
        <v>#VALUE!</v>
      </c>
      <c r="AD51" s="92" t="s">
        <v>85</v>
      </c>
      <c r="AE51" s="91" t="e">
        <f ca="1">VALUE(データシート２!I47)</f>
        <v>#VALUE!</v>
      </c>
      <c r="AF51" s="92">
        <f>VALUE((データシート!$K$65))</f>
        <v>0.41666666666666669</v>
      </c>
    </row>
    <row r="52" spans="23:32">
      <c r="AC52" s="92" t="e">
        <f ca="1">IF(AE52&lt;AF52," ","")</f>
        <v>#VALUE!</v>
      </c>
      <c r="AD52" s="92" t="s">
        <v>32</v>
      </c>
      <c r="AE52" s="91" t="e">
        <f ca="1">VALUE(データシート２!O47)</f>
        <v>#VALUE!</v>
      </c>
      <c r="AF52" s="92">
        <f>VALUE((データシート!$K$65))</f>
        <v>0.41666666666666669</v>
      </c>
    </row>
    <row r="53" spans="23:32">
      <c r="W53" s="42" t="s">
        <v>157</v>
      </c>
      <c r="X53" s="105"/>
      <c r="Y53" s="105"/>
      <c r="Z53" s="105"/>
    </row>
    <row r="54" spans="23:32">
      <c r="W54" s="42">
        <v>1</v>
      </c>
      <c r="X54" s="42" t="s">
        <v>159</v>
      </c>
      <c r="Y54" s="105"/>
      <c r="Z54" s="105"/>
      <c r="AA54" s="49" t="s">
        <v>158</v>
      </c>
      <c r="AB54" s="43" t="s">
        <v>50</v>
      </c>
    </row>
    <row r="55" spans="23:32">
      <c r="W55" s="42">
        <v>2</v>
      </c>
      <c r="X55" s="42" t="s">
        <v>160</v>
      </c>
      <c r="Y55" s="105"/>
      <c r="Z55" s="105"/>
      <c r="AA55" s="49" t="s">
        <v>158</v>
      </c>
      <c r="AB55" s="43" t="s">
        <v>50</v>
      </c>
    </row>
    <row r="56" spans="23:32">
      <c r="W56" s="42">
        <v>3</v>
      </c>
      <c r="X56" s="42" t="e">
        <f ca="1">IF(AND(データシート２!P50=0,データシート２!P49=0),"　キロオーバー無し",IF(AND(データシート２!P50=0,データシート２!P49&gt;0),"  "&amp;データシート２!Q49,IF(AND(データシート２!P50&gt;0,データシート２!P49=0),"  "&amp;データシート２!Q50)))</f>
        <v>#VALUE!</v>
      </c>
      <c r="Y56" s="105"/>
      <c r="Z56" s="105"/>
      <c r="AA56" s="49" t="s">
        <v>158</v>
      </c>
      <c r="AB56" s="43" t="s">
        <v>50</v>
      </c>
    </row>
    <row r="57" spans="23:32">
      <c r="W57" s="42">
        <v>4</v>
      </c>
      <c r="X57" s="42" t="s">
        <v>161</v>
      </c>
      <c r="Y57" s="105"/>
      <c r="Z57" s="105"/>
      <c r="AA57" s="49" t="s">
        <v>158</v>
      </c>
      <c r="AB57" s="43" t="s">
        <v>50</v>
      </c>
    </row>
    <row r="58" spans="23:32">
      <c r="W58" s="42"/>
      <c r="X58" s="105"/>
      <c r="Y58" s="105"/>
      <c r="Z58" s="105"/>
    </row>
    <row r="59" spans="23:32">
      <c r="W59" s="42"/>
      <c r="X59" s="105"/>
      <c r="Y59" s="105"/>
      <c r="Z59" s="105"/>
    </row>
    <row r="60" spans="23:32">
      <c r="W60" s="42"/>
      <c r="X60" s="105"/>
      <c r="Y60" s="105"/>
      <c r="Z60" s="105"/>
    </row>
  </sheetData>
  <dataConsolidate link="1"/>
  <mergeCells count="100">
    <mergeCell ref="AA29:AA30"/>
    <mergeCell ref="Z15:Z16"/>
    <mergeCell ref="W17:W18"/>
    <mergeCell ref="X17:Y18"/>
    <mergeCell ref="Z17:Z18"/>
    <mergeCell ref="W25:W26"/>
    <mergeCell ref="W15:W16"/>
    <mergeCell ref="X24:Y24"/>
    <mergeCell ref="Z25:Z26"/>
    <mergeCell ref="AA25:AA26"/>
    <mergeCell ref="X20:Y20"/>
    <mergeCell ref="G11:K11"/>
    <mergeCell ref="R35:S36"/>
    <mergeCell ref="U35:U36"/>
    <mergeCell ref="H39:K40"/>
    <mergeCell ref="L39:N40"/>
    <mergeCell ref="L35:N36"/>
    <mergeCell ref="P29:T30"/>
    <mergeCell ref="R37:S38"/>
    <mergeCell ref="U37:U38"/>
    <mergeCell ref="S11:U11"/>
    <mergeCell ref="S18:T19"/>
    <mergeCell ref="S21:T22"/>
    <mergeCell ref="Q21:R22"/>
    <mergeCell ref="U18:U19"/>
    <mergeCell ref="U21:U22"/>
    <mergeCell ref="R15:S15"/>
    <mergeCell ref="AF29:AF30"/>
    <mergeCell ref="B7:E7"/>
    <mergeCell ref="F7:G7"/>
    <mergeCell ref="H7:K7"/>
    <mergeCell ref="D27:F28"/>
    <mergeCell ref="X28:Y28"/>
    <mergeCell ref="X27:Y27"/>
    <mergeCell ref="D21:F22"/>
    <mergeCell ref="D24:F25"/>
    <mergeCell ref="Q24:R25"/>
    <mergeCell ref="S24:T25"/>
    <mergeCell ref="S27:T28"/>
    <mergeCell ref="U27:U28"/>
    <mergeCell ref="H9:L9"/>
    <mergeCell ref="G24:H25"/>
    <mergeCell ref="K24:L25"/>
    <mergeCell ref="X46:Y46"/>
    <mergeCell ref="X37:Y37"/>
    <mergeCell ref="X38:Y38"/>
    <mergeCell ref="X43:Y43"/>
    <mergeCell ref="X44:Y44"/>
    <mergeCell ref="X45:Y45"/>
    <mergeCell ref="AF25:AF26"/>
    <mergeCell ref="AC25:AC26"/>
    <mergeCell ref="AC23:AC24"/>
    <mergeCell ref="AD23:AD24"/>
    <mergeCell ref="AF23:AF24"/>
    <mergeCell ref="AC29:AC30"/>
    <mergeCell ref="AD29:AD30"/>
    <mergeCell ref="AE29:AE30"/>
    <mergeCell ref="AE23:AE24"/>
    <mergeCell ref="C15:F16"/>
    <mergeCell ref="D18:F19"/>
    <mergeCell ref="AE16:AE17"/>
    <mergeCell ref="P15:Q15"/>
    <mergeCell ref="G27:H28"/>
    <mergeCell ref="AD25:AD26"/>
    <mergeCell ref="AE25:AE26"/>
    <mergeCell ref="U24:U25"/>
    <mergeCell ref="AB16:AB17"/>
    <mergeCell ref="AB25:AB26"/>
    <mergeCell ref="AA16:AA17"/>
    <mergeCell ref="AB29:AB30"/>
    <mergeCell ref="AF16:AF17"/>
    <mergeCell ref="AC16:AC17"/>
    <mergeCell ref="AD16:AD17"/>
    <mergeCell ref="Z6:AA6"/>
    <mergeCell ref="X15:Y16"/>
    <mergeCell ref="X13:Y13"/>
    <mergeCell ref="X14:Y14"/>
    <mergeCell ref="G13:K13"/>
    <mergeCell ref="G21:H22"/>
    <mergeCell ref="K21:L22"/>
    <mergeCell ref="M31:N31"/>
    <mergeCell ref="Q27:R28"/>
    <mergeCell ref="E31:H31"/>
    <mergeCell ref="Q31:S31"/>
    <mergeCell ref="S13:U13"/>
    <mergeCell ref="L15:N16"/>
    <mergeCell ref="G18:H19"/>
    <mergeCell ref="K18:L19"/>
    <mergeCell ref="Q18:R19"/>
    <mergeCell ref="J15:K15"/>
    <mergeCell ref="H37:K38"/>
    <mergeCell ref="K27:L28"/>
    <mergeCell ref="G15:I15"/>
    <mergeCell ref="X35:Y35"/>
    <mergeCell ref="X36:Y36"/>
    <mergeCell ref="X25:Y26"/>
    <mergeCell ref="X23:Y23"/>
    <mergeCell ref="U29:U30"/>
    <mergeCell ref="H35:K36"/>
    <mergeCell ref="E33:H33"/>
  </mergeCells>
  <phoneticPr fontId="1"/>
  <dataValidations xWindow="993" yWindow="876" count="1">
    <dataValidation type="list" allowBlank="1" showInputMessage="1" showErrorMessage="1" sqref="AH6" xr:uid="{5764D8F2-34C8-417A-BAF8-15AD0167CB61}">
      <formula1>"                                         "</formula1>
    </dataValidation>
  </dataValidations>
  <pageMargins left="0.7" right="0.7" top="0.75" bottom="0.75" header="0.3" footer="0.3"/>
  <pageSetup paperSize="9" orientation="portrait" horizontalDpi="4294967293" verticalDpi="4294967293" r:id="rId1"/>
  <drawing r:id="rId2"/>
  <legacyDrawing r:id="rId3"/>
  <oleObjects>
    <mc:AlternateContent xmlns:mc="http://schemas.openxmlformats.org/markup-compatibility/2006">
      <mc:Choice Requires="x14">
        <oleObject progId="Word.Document.12" shapeId="1026" r:id="rId4">
          <objectPr defaultSize="0" print="0" r:id="rId5">
            <anchor moveWithCells="1">
              <from>
                <xdr:col>0</xdr:col>
                <xdr:colOff>31750</xdr:colOff>
                <xdr:row>17</xdr:row>
                <xdr:rowOff>57150</xdr:rowOff>
              </from>
              <to>
                <xdr:col>3</xdr:col>
                <xdr:colOff>146050</xdr:colOff>
                <xdr:row>18</xdr:row>
                <xdr:rowOff>107950</xdr:rowOff>
              </to>
            </anchor>
          </objectPr>
        </oleObject>
      </mc:Choice>
      <mc:Fallback>
        <oleObject progId="Word.Document.12" shapeId="1026" r:id="rId4"/>
      </mc:Fallback>
    </mc:AlternateContent>
    <mc:AlternateContent xmlns:mc="http://schemas.openxmlformats.org/markup-compatibility/2006">
      <mc:Choice Requires="x14">
        <oleObject progId="Word.Document.12" shapeId="1027" r:id="rId6">
          <objectPr defaultSize="0" print="0" r:id="rId7">
            <anchor moveWithCells="1">
              <from>
                <xdr:col>0</xdr:col>
                <xdr:colOff>50800</xdr:colOff>
                <xdr:row>20</xdr:row>
                <xdr:rowOff>76200</xdr:rowOff>
              </from>
              <to>
                <xdr:col>3</xdr:col>
                <xdr:colOff>69850</xdr:colOff>
                <xdr:row>21</xdr:row>
                <xdr:rowOff>127000</xdr:rowOff>
              </to>
            </anchor>
          </objectPr>
        </oleObject>
      </mc:Choice>
      <mc:Fallback>
        <oleObject progId="Word.Document.12" shapeId="1027" r:id="rId6"/>
      </mc:Fallback>
    </mc:AlternateContent>
    <mc:AlternateContent xmlns:mc="http://schemas.openxmlformats.org/markup-compatibility/2006">
      <mc:Choice Requires="x14">
        <oleObject progId="Word.Document.12" shapeId="1029" r:id="rId8">
          <objectPr defaultSize="0" print="0" r:id="rId9">
            <anchor moveWithCells="1">
              <from>
                <xdr:col>0</xdr:col>
                <xdr:colOff>31750</xdr:colOff>
                <xdr:row>23</xdr:row>
                <xdr:rowOff>69850</xdr:rowOff>
              </from>
              <to>
                <xdr:col>3</xdr:col>
                <xdr:colOff>95250</xdr:colOff>
                <xdr:row>24</xdr:row>
                <xdr:rowOff>127000</xdr:rowOff>
              </to>
            </anchor>
          </objectPr>
        </oleObject>
      </mc:Choice>
      <mc:Fallback>
        <oleObject progId="Word.Document.12" shapeId="1029" r:id="rId8"/>
      </mc:Fallback>
    </mc:AlternateContent>
    <mc:AlternateContent xmlns:mc="http://schemas.openxmlformats.org/markup-compatibility/2006">
      <mc:Choice Requires="x14">
        <oleObject progId="Word.Document.12" shapeId="1032" r:id="rId10">
          <objectPr defaultSize="0" print="0" r:id="rId11">
            <anchor moveWithCells="1">
              <from>
                <xdr:col>12</xdr:col>
                <xdr:colOff>38100</xdr:colOff>
                <xdr:row>13</xdr:row>
                <xdr:rowOff>31750</xdr:rowOff>
              </from>
              <to>
                <xdr:col>13</xdr:col>
                <xdr:colOff>247650</xdr:colOff>
                <xdr:row>14</xdr:row>
                <xdr:rowOff>50800</xdr:rowOff>
              </to>
            </anchor>
          </objectPr>
        </oleObject>
      </mc:Choice>
      <mc:Fallback>
        <oleObject progId="Word.Document.12" shapeId="1032" r:id="rId10"/>
      </mc:Fallback>
    </mc:AlternateContent>
    <mc:AlternateContent xmlns:mc="http://schemas.openxmlformats.org/markup-compatibility/2006">
      <mc:Choice Requires="x14">
        <oleObject progId="Word.Document.12" shapeId="1033" r:id="rId12">
          <objectPr defaultSize="0" print="0" r:id="rId13">
            <anchor moveWithCells="1">
              <from>
                <xdr:col>18</xdr:col>
                <xdr:colOff>165100</xdr:colOff>
                <xdr:row>14</xdr:row>
                <xdr:rowOff>0</xdr:rowOff>
              </from>
              <to>
                <xdr:col>20</xdr:col>
                <xdr:colOff>50800</xdr:colOff>
                <xdr:row>14</xdr:row>
                <xdr:rowOff>222250</xdr:rowOff>
              </to>
            </anchor>
          </objectPr>
        </oleObject>
      </mc:Choice>
      <mc:Fallback>
        <oleObject progId="Word.Document.12" shapeId="1033" r:id="rId12"/>
      </mc:Fallback>
    </mc:AlternateContent>
    <mc:AlternateContent xmlns:mc="http://schemas.openxmlformats.org/markup-compatibility/2006">
      <mc:Choice Requires="x14">
        <oleObject progId="Word.Document.12" shapeId="1034" r:id="rId14">
          <objectPr defaultSize="0" print="0" autoPict="0" r:id="rId15">
            <anchor moveWithCells="1">
              <from>
                <xdr:col>0</xdr:col>
                <xdr:colOff>19050</xdr:colOff>
                <xdr:row>29</xdr:row>
                <xdr:rowOff>38100</xdr:rowOff>
              </from>
              <to>
                <xdr:col>3</xdr:col>
                <xdr:colOff>133350</xdr:colOff>
                <xdr:row>31</xdr:row>
                <xdr:rowOff>50800</xdr:rowOff>
              </to>
            </anchor>
          </objectPr>
        </oleObject>
      </mc:Choice>
      <mc:Fallback>
        <oleObject progId="Word.Document.12" shapeId="1034" r:id="rId14"/>
      </mc:Fallback>
    </mc:AlternateContent>
    <mc:AlternateContent xmlns:mc="http://schemas.openxmlformats.org/markup-compatibility/2006">
      <mc:Choice Requires="x14">
        <oleObject progId="Word.Document.12" shapeId="1036" r:id="rId16">
          <objectPr defaultSize="0" print="0" r:id="rId17">
            <anchor moveWithCells="1">
              <from>
                <xdr:col>10</xdr:col>
                <xdr:colOff>76200</xdr:colOff>
                <xdr:row>29</xdr:row>
                <xdr:rowOff>57150</xdr:rowOff>
              </from>
              <to>
                <xdr:col>11</xdr:col>
                <xdr:colOff>107950</xdr:colOff>
                <xdr:row>31</xdr:row>
                <xdr:rowOff>50800</xdr:rowOff>
              </to>
            </anchor>
          </objectPr>
        </oleObject>
      </mc:Choice>
      <mc:Fallback>
        <oleObject progId="Word.Document.12" shapeId="1036" r:id="rId16"/>
      </mc:Fallback>
    </mc:AlternateContent>
    <mc:AlternateContent xmlns:mc="http://schemas.openxmlformats.org/markup-compatibility/2006">
      <mc:Choice Requires="x14">
        <oleObject progId="Word.Document.12" shapeId="1037" r:id="rId18">
          <objectPr defaultSize="0" print="0" r:id="rId19">
            <anchor moveWithCells="1">
              <from>
                <xdr:col>14</xdr:col>
                <xdr:colOff>38100</xdr:colOff>
                <xdr:row>29</xdr:row>
                <xdr:rowOff>38100</xdr:rowOff>
              </from>
              <to>
                <xdr:col>16</xdr:col>
                <xdr:colOff>12700</xdr:colOff>
                <xdr:row>31</xdr:row>
                <xdr:rowOff>31750</xdr:rowOff>
              </to>
            </anchor>
          </objectPr>
        </oleObject>
      </mc:Choice>
      <mc:Fallback>
        <oleObject progId="Word.Document.12" shapeId="1037" r:id="rId18"/>
      </mc:Fallback>
    </mc:AlternateContent>
    <mc:AlternateContent xmlns:mc="http://schemas.openxmlformats.org/markup-compatibility/2006">
      <mc:Choice Requires="x14">
        <oleObject progId="Word.Document.12" shapeId="1038" r:id="rId20">
          <objectPr defaultSize="0" print="0" r:id="rId21">
            <anchor moveWithCells="1">
              <from>
                <xdr:col>4</xdr:col>
                <xdr:colOff>114300</xdr:colOff>
                <xdr:row>34</xdr:row>
                <xdr:rowOff>107950</xdr:rowOff>
              </from>
              <to>
                <xdr:col>6</xdr:col>
                <xdr:colOff>50800</xdr:colOff>
                <xdr:row>35</xdr:row>
                <xdr:rowOff>146050</xdr:rowOff>
              </to>
            </anchor>
          </objectPr>
        </oleObject>
      </mc:Choice>
      <mc:Fallback>
        <oleObject progId="Word.Document.12" shapeId="1038" r:id="rId20"/>
      </mc:Fallback>
    </mc:AlternateContent>
    <mc:AlternateContent xmlns:mc="http://schemas.openxmlformats.org/markup-compatibility/2006">
      <mc:Choice Requires="x14">
        <oleObject progId="Word.Document.12" shapeId="1039" r:id="rId22">
          <objectPr defaultSize="0" print="0" r:id="rId23">
            <anchor moveWithCells="1">
              <from>
                <xdr:col>4</xdr:col>
                <xdr:colOff>165100</xdr:colOff>
                <xdr:row>36</xdr:row>
                <xdr:rowOff>114300</xdr:rowOff>
              </from>
              <to>
                <xdr:col>7</xdr:col>
                <xdr:colOff>12700</xdr:colOff>
                <xdr:row>37</xdr:row>
                <xdr:rowOff>146050</xdr:rowOff>
              </to>
            </anchor>
          </objectPr>
        </oleObject>
      </mc:Choice>
      <mc:Fallback>
        <oleObject progId="Word.Document.12" shapeId="1039" r:id="rId22"/>
      </mc:Fallback>
    </mc:AlternateContent>
    <mc:AlternateContent xmlns:mc="http://schemas.openxmlformats.org/markup-compatibility/2006">
      <mc:Choice Requires="x14">
        <oleObject progId="Word.Document.12" shapeId="1040" r:id="rId24">
          <objectPr defaultSize="0" print="0" r:id="rId25">
            <anchor moveWithCells="1">
              <from>
                <xdr:col>4</xdr:col>
                <xdr:colOff>165100</xdr:colOff>
                <xdr:row>38</xdr:row>
                <xdr:rowOff>114300</xdr:rowOff>
              </from>
              <to>
                <xdr:col>7</xdr:col>
                <xdr:colOff>12700</xdr:colOff>
                <xdr:row>39</xdr:row>
                <xdr:rowOff>38100</xdr:rowOff>
              </to>
            </anchor>
          </objectPr>
        </oleObject>
      </mc:Choice>
      <mc:Fallback>
        <oleObject progId="Word.Document.12" shapeId="1040" r:id="rId24"/>
      </mc:Fallback>
    </mc:AlternateContent>
    <mc:AlternateContent xmlns:mc="http://schemas.openxmlformats.org/markup-compatibility/2006">
      <mc:Choice Requires="x14">
        <oleObject progId="Word.Document.12" shapeId="1042" r:id="rId26">
          <objectPr defaultSize="0" print="0" autoPict="0" r:id="rId27">
            <anchor moveWithCells="1">
              <from>
                <xdr:col>14</xdr:col>
                <xdr:colOff>88900</xdr:colOff>
                <xdr:row>34</xdr:row>
                <xdr:rowOff>69850</xdr:rowOff>
              </from>
              <to>
                <xdr:col>16</xdr:col>
                <xdr:colOff>0</xdr:colOff>
                <xdr:row>35</xdr:row>
                <xdr:rowOff>114300</xdr:rowOff>
              </to>
            </anchor>
          </objectPr>
        </oleObject>
      </mc:Choice>
      <mc:Fallback>
        <oleObject progId="Word.Document.12" shapeId="1042" r:id="rId26"/>
      </mc:Fallback>
    </mc:AlternateContent>
    <mc:AlternateContent xmlns:mc="http://schemas.openxmlformats.org/markup-compatibility/2006">
      <mc:Choice Requires="x14">
        <oleObject progId="Word.Document.12" shapeId="1043" r:id="rId28">
          <objectPr defaultSize="0" print="0" autoPict="0" r:id="rId29">
            <anchor moveWithCells="1">
              <from>
                <xdr:col>0</xdr:col>
                <xdr:colOff>38100</xdr:colOff>
                <xdr:row>36</xdr:row>
                <xdr:rowOff>114300</xdr:rowOff>
              </from>
              <to>
                <xdr:col>4</xdr:col>
                <xdr:colOff>38100</xdr:colOff>
                <xdr:row>37</xdr:row>
                <xdr:rowOff>146050</xdr:rowOff>
              </to>
            </anchor>
          </objectPr>
        </oleObject>
      </mc:Choice>
      <mc:Fallback>
        <oleObject progId="Word.Document.12" shapeId="1043" r:id="rId28"/>
      </mc:Fallback>
    </mc:AlternateContent>
    <mc:AlternateContent xmlns:mc="http://schemas.openxmlformats.org/markup-compatibility/2006">
      <mc:Choice Requires="x14">
        <oleObject progId="Word.Document.12" shapeId="1044" r:id="rId30">
          <objectPr defaultSize="0" print="0" autoPict="0" r:id="rId31">
            <anchor moveWithCells="1">
              <from>
                <xdr:col>14</xdr:col>
                <xdr:colOff>50800</xdr:colOff>
                <xdr:row>36</xdr:row>
                <xdr:rowOff>114300</xdr:rowOff>
              </from>
              <to>
                <xdr:col>17</xdr:col>
                <xdr:colOff>31750</xdr:colOff>
                <xdr:row>37</xdr:row>
                <xdr:rowOff>146050</xdr:rowOff>
              </to>
            </anchor>
          </objectPr>
        </oleObject>
      </mc:Choice>
      <mc:Fallback>
        <oleObject progId="Word.Document.12" shapeId="1044" r:id="rId30"/>
      </mc:Fallback>
    </mc:AlternateContent>
    <mc:AlternateContent xmlns:mc="http://schemas.openxmlformats.org/markup-compatibility/2006">
      <mc:Choice Requires="x14">
        <oleObject progId="Word.Document.12" shapeId="1046" r:id="rId32">
          <objectPr defaultSize="0" print="0" autoPict="0" r:id="rId33">
            <anchor moveWithCells="1">
              <from>
                <xdr:col>0</xdr:col>
                <xdr:colOff>107950</xdr:colOff>
                <xdr:row>40</xdr:row>
                <xdr:rowOff>19050</xdr:rowOff>
              </from>
              <to>
                <xdr:col>4</xdr:col>
                <xdr:colOff>133350</xdr:colOff>
                <xdr:row>43</xdr:row>
                <xdr:rowOff>171450</xdr:rowOff>
              </to>
            </anchor>
          </objectPr>
        </oleObject>
      </mc:Choice>
      <mc:Fallback>
        <oleObject progId="Word.Document.12" shapeId="1046" r:id="rId32"/>
      </mc:Fallback>
    </mc:AlternateContent>
    <mc:AlternateContent xmlns:mc="http://schemas.openxmlformats.org/markup-compatibility/2006">
      <mc:Choice Requires="x14">
        <oleObject progId="Word.Document.12" shapeId="1047" r:id="rId34">
          <objectPr defaultSize="0" print="0" r:id="rId35">
            <anchor moveWithCells="1">
              <from>
                <xdr:col>0</xdr:col>
                <xdr:colOff>12700</xdr:colOff>
                <xdr:row>26</xdr:row>
                <xdr:rowOff>88900</xdr:rowOff>
              </from>
              <to>
                <xdr:col>3</xdr:col>
                <xdr:colOff>76200</xdr:colOff>
                <xdr:row>27</xdr:row>
                <xdr:rowOff>152400</xdr:rowOff>
              </to>
            </anchor>
          </objectPr>
        </oleObject>
      </mc:Choice>
      <mc:Fallback>
        <oleObject progId="Word.Document.12" shapeId="1047" r:id="rId34"/>
      </mc:Fallback>
    </mc:AlternateContent>
    <mc:AlternateContent xmlns:mc="http://schemas.openxmlformats.org/markup-compatibility/2006">
      <mc:Choice Requires="x14">
        <oleObject progId="Word.Document.12" shapeId="1048" r:id="rId36">
          <objectPr defaultSize="0" print="0" autoPict="0" r:id="rId37">
            <anchor moveWithCells="1">
              <from>
                <xdr:col>0</xdr:col>
                <xdr:colOff>19050</xdr:colOff>
                <xdr:row>32</xdr:row>
                <xdr:rowOff>12700</xdr:rowOff>
              </from>
              <to>
                <xdr:col>3</xdr:col>
                <xdr:colOff>152400</xdr:colOff>
                <xdr:row>33</xdr:row>
                <xdr:rowOff>69850</xdr:rowOff>
              </to>
            </anchor>
          </objectPr>
        </oleObject>
      </mc:Choice>
      <mc:Fallback>
        <oleObject progId="Word.Document.12" shapeId="1048" r:id="rId36"/>
      </mc:Fallback>
    </mc:AlternateContent>
    <mc:AlternateContent xmlns:mc="http://schemas.openxmlformats.org/markup-compatibility/2006">
      <mc:Choice Requires="x14">
        <oleObject progId="Word.Document.12" shapeId="1049" r:id="rId38">
          <objectPr defaultSize="0" print="0" r:id="rId39">
            <anchor moveWithCells="1">
              <from>
                <xdr:col>2</xdr:col>
                <xdr:colOff>88900</xdr:colOff>
                <xdr:row>12</xdr:row>
                <xdr:rowOff>0</xdr:rowOff>
              </from>
              <to>
                <xdr:col>6</xdr:col>
                <xdr:colOff>95250</xdr:colOff>
                <xdr:row>13</xdr:row>
                <xdr:rowOff>57150</xdr:rowOff>
              </to>
            </anchor>
          </objectPr>
        </oleObject>
      </mc:Choice>
      <mc:Fallback>
        <oleObject progId="Word.Document.12" shapeId="1049" r:id="rId38"/>
      </mc:Fallback>
    </mc:AlternateContent>
    <mc:AlternateContent xmlns:mc="http://schemas.openxmlformats.org/markup-compatibility/2006">
      <mc:Choice Requires="x14">
        <oleObject progId="Word.Document.12" shapeId="1054" r:id="rId40">
          <objectPr defaultSize="0" print="0" r:id="rId41">
            <anchor moveWithCells="1">
              <from>
                <xdr:col>2</xdr:col>
                <xdr:colOff>69850</xdr:colOff>
                <xdr:row>10</xdr:row>
                <xdr:rowOff>0</xdr:rowOff>
              </from>
              <to>
                <xdr:col>6</xdr:col>
                <xdr:colOff>69850</xdr:colOff>
                <xdr:row>10</xdr:row>
                <xdr:rowOff>247650</xdr:rowOff>
              </to>
            </anchor>
          </objectPr>
        </oleObject>
      </mc:Choice>
      <mc:Fallback>
        <oleObject progId="Word.Document.12" shapeId="1054" r:id="rId40"/>
      </mc:Fallback>
    </mc:AlternateContent>
    <mc:AlternateContent xmlns:mc="http://schemas.openxmlformats.org/markup-compatibility/2006">
      <mc:Choice Requires="x14">
        <oleObject progId="Word.Document.12" shapeId="1055" r:id="rId42">
          <objectPr defaultSize="0" print="0" autoPict="0" r:id="rId43">
            <anchor moveWithCells="1">
              <from>
                <xdr:col>14</xdr:col>
                <xdr:colOff>31750</xdr:colOff>
                <xdr:row>12</xdr:row>
                <xdr:rowOff>0</xdr:rowOff>
              </from>
              <to>
                <xdr:col>17</xdr:col>
                <xdr:colOff>95250</xdr:colOff>
                <xdr:row>13</xdr:row>
                <xdr:rowOff>57150</xdr:rowOff>
              </to>
            </anchor>
          </objectPr>
        </oleObject>
      </mc:Choice>
      <mc:Fallback>
        <oleObject progId="Word.Document.12" shapeId="1055" r:id="rId42"/>
      </mc:Fallback>
    </mc:AlternateContent>
    <mc:AlternateContent xmlns:mc="http://schemas.openxmlformats.org/markup-compatibility/2006">
      <mc:Choice Requires="x14">
        <oleObject progId="Word.Document.12" shapeId="1056" r:id="rId44">
          <objectPr defaultSize="0" print="0" autoPict="0" r:id="rId45">
            <anchor moveWithCells="1">
              <from>
                <xdr:col>14</xdr:col>
                <xdr:colOff>19050</xdr:colOff>
                <xdr:row>10</xdr:row>
                <xdr:rowOff>0</xdr:rowOff>
              </from>
              <to>
                <xdr:col>17</xdr:col>
                <xdr:colOff>88900</xdr:colOff>
                <xdr:row>10</xdr:row>
                <xdr:rowOff>241300</xdr:rowOff>
              </to>
            </anchor>
          </objectPr>
        </oleObject>
      </mc:Choice>
      <mc:Fallback>
        <oleObject progId="Word.Document.12" shapeId="1056" r:id="rId44"/>
      </mc:Fallback>
    </mc:AlternateContent>
    <mc:AlternateContent xmlns:mc="http://schemas.openxmlformats.org/markup-compatibility/2006">
      <mc:Choice Requires="x14">
        <oleObject progId="Word.Document.12" shapeId="1057" r:id="rId46">
          <objectPr defaultSize="0" print="0" r:id="rId47">
            <anchor moveWithCells="1">
              <from>
                <xdr:col>2</xdr:col>
                <xdr:colOff>69850</xdr:colOff>
                <xdr:row>8</xdr:row>
                <xdr:rowOff>31750</xdr:rowOff>
              </from>
              <to>
                <xdr:col>6</xdr:col>
                <xdr:colOff>69850</xdr:colOff>
                <xdr:row>8</xdr:row>
                <xdr:rowOff>260350</xdr:rowOff>
              </to>
            </anchor>
          </objectPr>
        </oleObject>
      </mc:Choice>
      <mc:Fallback>
        <oleObject progId="Word.Document.12" shapeId="1057" r:id="rId46"/>
      </mc:Fallback>
    </mc:AlternateContent>
    <mc:AlternateContent xmlns:mc="http://schemas.openxmlformats.org/markup-compatibility/2006">
      <mc:Choice Requires="x14">
        <oleObject progId="Word.Document.12" shapeId="1058" r:id="rId48">
          <objectPr defaultSize="0" print="0" r:id="rId49">
            <anchor moveWithCells="1">
              <from>
                <xdr:col>13</xdr:col>
                <xdr:colOff>76200</xdr:colOff>
                <xdr:row>8</xdr:row>
                <xdr:rowOff>31750</xdr:rowOff>
              </from>
              <to>
                <xdr:col>14</xdr:col>
                <xdr:colOff>88900</xdr:colOff>
                <xdr:row>9</xdr:row>
                <xdr:rowOff>0</xdr:rowOff>
              </to>
            </anchor>
          </objectPr>
        </oleObject>
      </mc:Choice>
      <mc:Fallback>
        <oleObject progId="Word.Document.12" shapeId="1058" r:id="rId48"/>
      </mc:Fallback>
    </mc:AlternateContent>
    <mc:AlternateContent xmlns:mc="http://schemas.openxmlformats.org/markup-compatibility/2006">
      <mc:Choice Requires="x14">
        <oleObject progId="Word.Document.12" shapeId="1031" r:id="rId50">
          <objectPr defaultSize="0" print="0" autoPict="0" r:id="rId51">
            <anchor moveWithCells="1">
              <from>
                <xdr:col>2</xdr:col>
                <xdr:colOff>0</xdr:colOff>
                <xdr:row>13</xdr:row>
                <xdr:rowOff>38100</xdr:rowOff>
              </from>
              <to>
                <xdr:col>6</xdr:col>
                <xdr:colOff>88900</xdr:colOff>
                <xdr:row>14</xdr:row>
                <xdr:rowOff>50800</xdr:rowOff>
              </to>
            </anchor>
          </objectPr>
        </oleObject>
      </mc:Choice>
      <mc:Fallback>
        <oleObject progId="Word.Document.12" shapeId="1031" r:id="rId50"/>
      </mc:Fallback>
    </mc:AlternateContent>
  </oleObjects>
  <extLst>
    <ext xmlns:x14="http://schemas.microsoft.com/office/spreadsheetml/2009/9/main" uri="{CCE6A557-97BC-4b89-ADB6-D9C93CAAB3DF}">
      <x14:dataValidations xmlns:xm="http://schemas.microsoft.com/office/excel/2006/main" xWindow="993" yWindow="876" count="8">
        <x14:dataValidation type="list" allowBlank="1" showInputMessage="1" showErrorMessage="1" xr:uid="{720542C0-FE49-4793-ACB8-2320634AC73A}">
          <x14:formula1>
            <xm:f>データシート!$B$61:$B$62</xm:f>
          </x14:formula1>
          <xm:sqref>Y9:Y12 Y21:Y22 Y33:Y34 Y41:Y42 AB54:AB57 AB6</xm:sqref>
        </x14:dataValidation>
        <x14:dataValidation type="list" showInputMessage="1" showErrorMessage="1" xr:uid="{6E3526B0-4541-4681-B44F-6211CDB60598}">
          <x14:formula1>
            <xm:f>データシート!$C$61:$C$67</xm:f>
          </x14:formula1>
          <xm:sqref>X6</xm:sqref>
        </x14:dataValidation>
        <x14:dataValidation type="list" allowBlank="1" showInputMessage="1" showErrorMessage="1" prompt="別は NO" xr:uid="{BEF43A03-4C03-42E9-ACDA-4D0ED07F9E98}">
          <x14:formula1>
            <xm:f>データシート!$B$61:$B$62</xm:f>
          </x14:formula1>
          <xm:sqref>AB13 AB24 AB43 AB35</xm:sqref>
        </x14:dataValidation>
        <x14:dataValidation type="list" allowBlank="1" showInputMessage="1" showErrorMessage="1" promptTitle="附属中迎え・空港発 時間選択" prompt="附属中の迎え時間や空港発時間が一覧にない場合こちらから選択してください。" xr:uid="{C7F5E9C9-09C2-4D78-9EF7-C15BCCBED8F6}">
          <x14:formula1>
            <xm:f>時間選択!$B$3:$B$139</xm:f>
          </x14:formula1>
          <xm:sqref>Z13 Z24 Z35</xm:sqref>
        </x14:dataValidation>
        <x14:dataValidation type="list" allowBlank="1" showInputMessage="1" showErrorMessage="1" xr:uid="{F7AEC499-92D2-4882-9DFB-11DA37FD8554}">
          <x14:formula1>
            <xm:f>データシート!$B$107:$B$395</xm:f>
          </x14:formula1>
          <xm:sqref>AB12</xm:sqref>
        </x14:dataValidation>
        <x14:dataValidation type="list" allowBlank="1" showInputMessage="1" showErrorMessage="1" xr:uid="{1C2D93B9-2010-4037-B51D-EB979AB72173}">
          <x14:formula1>
            <xm:f>データシート!$B$71:$B$460</xm:f>
          </x14:formula1>
          <xm:sqref>X20:Y20</xm:sqref>
        </x14:dataValidation>
        <x14:dataValidation type="list" allowBlank="1" showInputMessage="1" showErrorMessage="1" xr:uid="{A0F76110-8099-42BA-B601-1BA7EFD4D526}">
          <x14:formula1>
            <xm:f>データシート!$B$70:$B$460</xm:f>
          </x14:formula1>
          <xm:sqref>X15:Y18 X25</xm:sqref>
        </x14:dataValidation>
        <x14:dataValidation type="list" allowBlank="1" showInputMessage="1" showErrorMessage="1" prompt="ない場合は空白を選択" xr:uid="{63401CEA-5181-4486-A24B-78990C55BFF6}">
          <x14:formula1>
            <xm:f>データシート!$B$70:$B$471</xm:f>
          </x14:formula1>
          <xm:sqref>X13:Y14 X43:Y46 X35:Y38 X27:Y28 X24:Y24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D720A-A9EF-4B30-AF4F-CDD3B50E9FA5}">
  <sheetPr codeName="Sheet2"/>
  <dimension ref="A1:AJ501"/>
  <sheetViews>
    <sheetView topLeftCell="A320" zoomScale="115" zoomScaleNormal="115" workbookViewId="0">
      <selection activeCell="L231" sqref="L231"/>
    </sheetView>
  </sheetViews>
  <sheetFormatPr defaultRowHeight="13"/>
  <cols>
    <col min="1" max="1" width="10.453125" bestFit="1" customWidth="1"/>
    <col min="2" max="2" width="10.7265625" customWidth="1"/>
    <col min="3" max="3" width="13.26953125" customWidth="1"/>
    <col min="4" max="7" width="8.36328125" style="36" customWidth="1"/>
    <col min="8" max="8" width="8.36328125" customWidth="1"/>
    <col min="9" max="9" width="8.36328125" style="37" customWidth="1"/>
    <col min="10" max="10" width="8.36328125" customWidth="1"/>
    <col min="11" max="11" width="8.36328125" style="37" customWidth="1"/>
    <col min="12" max="12" width="8.36328125" style="15" customWidth="1"/>
    <col min="13" max="13" width="8.36328125" style="36" customWidth="1"/>
    <col min="14" max="15" width="8.36328125" style="37" customWidth="1"/>
    <col min="16" max="29" width="8.36328125" style="15" customWidth="1"/>
    <col min="31" max="31" width="14.6328125" customWidth="1"/>
    <col min="32" max="32" width="8" customWidth="1"/>
    <col min="33" max="33" width="11.08984375" customWidth="1"/>
  </cols>
  <sheetData>
    <row r="1" spans="1:36" ht="16">
      <c r="A1" s="5">
        <f ca="1">IF(印刷プレビュー!X6="本　日",D61,IF(印刷プレビュー!X6="明　日",D62,IF(印刷プレビュー!X6="明後日",D63,IF(印刷プレビュー!X6="３日後",D64,IF(印刷プレビュー!X6="４日後",D65,IF(印刷プレビュー!X6="５日後",D66,IF(印刷プレビュー!X6="６日後",D67)))))))</f>
        <v>46237</v>
      </c>
      <c r="B1" s="6" t="s">
        <v>0</v>
      </c>
      <c r="C1" s="7" t="s">
        <v>1</v>
      </c>
      <c r="D1" s="55"/>
      <c r="E1" s="55"/>
      <c r="F1" s="55"/>
      <c r="G1" s="55"/>
      <c r="H1" s="54"/>
      <c r="I1" s="51"/>
      <c r="J1" s="54"/>
      <c r="K1" s="51"/>
      <c r="L1" s="58"/>
      <c r="M1" s="55"/>
      <c r="N1" s="51"/>
      <c r="O1" s="51"/>
      <c r="P1" s="16"/>
      <c r="Q1" s="16"/>
      <c r="R1" s="54"/>
      <c r="S1" s="16"/>
      <c r="T1" s="16"/>
      <c r="U1" s="16"/>
      <c r="V1" s="16"/>
      <c r="W1" s="16"/>
      <c r="X1" s="16"/>
      <c r="Y1" s="16"/>
      <c r="Z1" s="16"/>
      <c r="AA1" s="16"/>
      <c r="AB1" s="16"/>
      <c r="AC1" s="16"/>
      <c r="AE1" s="20" t="s">
        <v>587</v>
      </c>
      <c r="AI1" t="s">
        <v>165</v>
      </c>
      <c r="AJ1" t="s">
        <v>166</v>
      </c>
    </row>
    <row r="2" spans="1:36">
      <c r="A2">
        <f ca="1">WEEKDAY(A1,2)</f>
        <v>1</v>
      </c>
      <c r="B2" s="8"/>
      <c r="C2" s="9"/>
      <c r="D2" s="13"/>
      <c r="E2" s="13"/>
      <c r="F2" s="13"/>
      <c r="G2" s="13"/>
      <c r="H2" s="13"/>
      <c r="I2" s="13"/>
      <c r="J2" s="13"/>
      <c r="K2" s="133"/>
      <c r="L2" s="13"/>
      <c r="M2" s="13"/>
      <c r="N2" s="13"/>
      <c r="O2" s="13"/>
      <c r="P2" s="13"/>
      <c r="Q2" s="12"/>
      <c r="R2" s="84"/>
      <c r="S2" s="24"/>
      <c r="T2" s="24"/>
      <c r="U2" s="24"/>
      <c r="V2" s="24"/>
      <c r="W2" s="24"/>
      <c r="X2" s="24"/>
      <c r="Y2" s="24"/>
      <c r="Z2" s="24"/>
      <c r="AA2" s="24"/>
      <c r="AB2" s="24"/>
      <c r="AC2" s="24"/>
      <c r="AF2" s="76" t="s">
        <v>121</v>
      </c>
    </row>
    <row r="3" spans="1:36">
      <c r="A3">
        <f ca="1">A2+7</f>
        <v>8</v>
      </c>
      <c r="B3" s="10">
        <v>2063</v>
      </c>
      <c r="C3" s="11" t="s">
        <v>189</v>
      </c>
      <c r="D3" s="13" t="s">
        <v>355</v>
      </c>
      <c r="E3" s="102" t="s">
        <v>356</v>
      </c>
      <c r="F3" s="102" t="s">
        <v>357</v>
      </c>
      <c r="G3" s="102" t="s">
        <v>358</v>
      </c>
      <c r="H3" s="13" t="s">
        <v>4</v>
      </c>
      <c r="I3" s="104" t="s">
        <v>3</v>
      </c>
      <c r="J3" s="102" t="s">
        <v>359</v>
      </c>
      <c r="K3" s="104" t="s">
        <v>360</v>
      </c>
      <c r="L3" s="134" t="s">
        <v>298</v>
      </c>
      <c r="M3" s="102" t="s">
        <v>300</v>
      </c>
      <c r="N3" s="102" t="s">
        <v>301</v>
      </c>
      <c r="O3" s="13" t="s">
        <v>3</v>
      </c>
      <c r="P3" s="13" t="s">
        <v>354</v>
      </c>
      <c r="Q3" s="13" t="s">
        <v>355</v>
      </c>
      <c r="R3" s="102" t="s">
        <v>356</v>
      </c>
      <c r="S3" s="102" t="s">
        <v>357</v>
      </c>
      <c r="T3" s="102" t="s">
        <v>358</v>
      </c>
      <c r="U3" s="13" t="s">
        <v>4</v>
      </c>
      <c r="V3" s="104" t="s">
        <v>3</v>
      </c>
      <c r="W3" s="102" t="s">
        <v>359</v>
      </c>
      <c r="X3" s="104" t="s">
        <v>360</v>
      </c>
      <c r="Y3" s="134" t="s">
        <v>298</v>
      </c>
      <c r="Z3" s="102" t="s">
        <v>300</v>
      </c>
      <c r="AA3" s="102" t="s">
        <v>301</v>
      </c>
      <c r="AB3" s="13" t="s">
        <v>3</v>
      </c>
      <c r="AC3" s="13" t="s">
        <v>354</v>
      </c>
      <c r="AD3" s="13"/>
      <c r="AE3" s="136">
        <v>45984</v>
      </c>
      <c r="AF3" s="22" t="s">
        <v>437</v>
      </c>
      <c r="AG3" s="22" t="s">
        <v>19</v>
      </c>
      <c r="AI3">
        <v>671</v>
      </c>
      <c r="AJ3" t="s">
        <v>170</v>
      </c>
    </row>
    <row r="4" spans="1:36" ht="13.5" customHeight="1">
      <c r="A4" s="23" t="str">
        <f ca="1">IF(NETWORKDAYS(A1,A1,$AE$3:$AE$60),"平日","休日")</f>
        <v>平日</v>
      </c>
      <c r="B4">
        <v>2083</v>
      </c>
      <c r="C4" s="9" t="s">
        <v>372</v>
      </c>
      <c r="D4" s="13" t="s">
        <v>4</v>
      </c>
      <c r="E4" s="13" t="s">
        <v>3</v>
      </c>
      <c r="F4" s="102" t="s">
        <v>315</v>
      </c>
      <c r="G4" s="13" t="s">
        <v>318</v>
      </c>
      <c r="H4" s="102" t="s">
        <v>339</v>
      </c>
      <c r="I4" s="102" t="s">
        <v>340</v>
      </c>
      <c r="J4" s="134" t="s">
        <v>341</v>
      </c>
      <c r="K4" s="13" t="s">
        <v>3</v>
      </c>
      <c r="L4" s="13" t="s">
        <v>337</v>
      </c>
      <c r="M4" s="13" t="s">
        <v>338</v>
      </c>
      <c r="N4" s="102" t="s">
        <v>322</v>
      </c>
      <c r="O4" s="102" t="s">
        <v>324</v>
      </c>
      <c r="P4" s="102" t="s">
        <v>329</v>
      </c>
      <c r="Q4" s="13" t="s">
        <v>4</v>
      </c>
      <c r="R4" s="13" t="s">
        <v>3</v>
      </c>
      <c r="S4" s="102" t="s">
        <v>315</v>
      </c>
      <c r="T4" s="13" t="s">
        <v>318</v>
      </c>
      <c r="U4" s="102" t="s">
        <v>339</v>
      </c>
      <c r="V4" s="102" t="s">
        <v>340</v>
      </c>
      <c r="W4" s="102" t="s">
        <v>341</v>
      </c>
      <c r="X4" s="13" t="s">
        <v>3</v>
      </c>
      <c r="Y4" s="133" t="s">
        <v>337</v>
      </c>
      <c r="Z4" s="13" t="s">
        <v>338</v>
      </c>
      <c r="AA4" s="102" t="s">
        <v>322</v>
      </c>
      <c r="AB4" s="102" t="s">
        <v>324</v>
      </c>
      <c r="AC4" s="102" t="s">
        <v>329</v>
      </c>
      <c r="AE4" s="136">
        <v>45985</v>
      </c>
      <c r="AF4" s="22" t="s">
        <v>10</v>
      </c>
      <c r="AG4" s="22" t="s">
        <v>20</v>
      </c>
    </row>
    <row r="5" spans="1:36" ht="13.5" customHeight="1">
      <c r="A5">
        <f ca="1">WEEKNUM(A1)</f>
        <v>32</v>
      </c>
      <c r="D5" s="13"/>
      <c r="E5" s="102"/>
      <c r="F5" s="102"/>
      <c r="G5" s="102"/>
      <c r="H5" s="13"/>
      <c r="I5" s="104"/>
      <c r="J5" s="102"/>
      <c r="K5" s="104"/>
      <c r="L5" s="134"/>
      <c r="M5" s="102"/>
      <c r="N5" s="102"/>
      <c r="O5" s="13"/>
      <c r="P5" s="13"/>
      <c r="Q5" s="13"/>
      <c r="R5" s="102"/>
      <c r="S5" s="102"/>
      <c r="T5" s="102"/>
      <c r="U5" s="13"/>
      <c r="V5" s="104"/>
      <c r="W5" s="102"/>
      <c r="X5" s="104"/>
      <c r="Y5" s="134"/>
      <c r="Z5" s="102"/>
      <c r="AA5" s="102"/>
      <c r="AB5" s="13"/>
      <c r="AC5" s="13"/>
      <c r="AE5" s="136">
        <v>46020</v>
      </c>
      <c r="AF5" s="22" t="s">
        <v>437</v>
      </c>
      <c r="AG5" s="22"/>
    </row>
    <row r="6" spans="1:36" ht="13.5" customHeight="1">
      <c r="A6">
        <f ca="1">MOD(A5,2)</f>
        <v>0</v>
      </c>
      <c r="B6">
        <v>2019</v>
      </c>
      <c r="C6" t="s">
        <v>184</v>
      </c>
      <c r="D6" s="13" t="s">
        <v>3</v>
      </c>
      <c r="E6" s="102" t="s">
        <v>315</v>
      </c>
      <c r="F6" s="13" t="s">
        <v>318</v>
      </c>
      <c r="G6" s="102" t="s">
        <v>339</v>
      </c>
      <c r="H6" s="102" t="s">
        <v>340</v>
      </c>
      <c r="I6" s="102" t="s">
        <v>341</v>
      </c>
      <c r="J6" s="13" t="s">
        <v>3</v>
      </c>
      <c r="K6" s="13" t="s">
        <v>337</v>
      </c>
      <c r="L6" s="13" t="s">
        <v>338</v>
      </c>
      <c r="M6" s="102" t="s">
        <v>322</v>
      </c>
      <c r="N6" s="102" t="s">
        <v>324</v>
      </c>
      <c r="O6" s="102" t="s">
        <v>329</v>
      </c>
      <c r="P6" s="13" t="s">
        <v>4</v>
      </c>
      <c r="Q6" s="13" t="s">
        <v>3</v>
      </c>
      <c r="R6" s="102" t="s">
        <v>315</v>
      </c>
      <c r="S6" s="13" t="s">
        <v>318</v>
      </c>
      <c r="T6" s="102" t="s">
        <v>339</v>
      </c>
      <c r="U6" s="102" t="s">
        <v>340</v>
      </c>
      <c r="V6" s="102" t="s">
        <v>341</v>
      </c>
      <c r="W6" s="13" t="s">
        <v>3</v>
      </c>
      <c r="X6" s="133" t="s">
        <v>337</v>
      </c>
      <c r="Y6" s="13" t="s">
        <v>338</v>
      </c>
      <c r="Z6" s="102" t="s">
        <v>322</v>
      </c>
      <c r="AA6" s="102" t="s">
        <v>324</v>
      </c>
      <c r="AB6" s="102" t="s">
        <v>329</v>
      </c>
      <c r="AC6" s="13" t="s">
        <v>4</v>
      </c>
      <c r="AE6" s="136">
        <v>46021</v>
      </c>
      <c r="AF6" s="22" t="s">
        <v>10</v>
      </c>
      <c r="AG6" s="22"/>
    </row>
    <row r="7" spans="1:36" ht="13.5" customHeight="1">
      <c r="A7" t="b">
        <f ca="1">ISODD(A5)</f>
        <v>0</v>
      </c>
      <c r="Q7" s="13"/>
      <c r="R7"/>
      <c r="AE7" s="136">
        <v>46022</v>
      </c>
      <c r="AF7" s="22" t="s">
        <v>13</v>
      </c>
      <c r="AG7" s="22"/>
      <c r="AI7">
        <v>1539</v>
      </c>
      <c r="AJ7" t="s">
        <v>171</v>
      </c>
    </row>
    <row r="8" spans="1:36" ht="13.5" customHeight="1">
      <c r="B8" s="148">
        <v>1715</v>
      </c>
      <c r="C8" s="11" t="s">
        <v>172</v>
      </c>
      <c r="D8" s="102" t="s">
        <v>277</v>
      </c>
      <c r="E8" s="102" t="s">
        <v>350</v>
      </c>
      <c r="F8" s="102" t="s">
        <v>351</v>
      </c>
      <c r="G8" s="13" t="s">
        <v>352</v>
      </c>
      <c r="H8" s="13" t="s">
        <v>4</v>
      </c>
      <c r="I8" s="13" t="s">
        <v>3</v>
      </c>
      <c r="J8" s="102" t="s">
        <v>239</v>
      </c>
      <c r="K8" s="133" t="s">
        <v>241</v>
      </c>
      <c r="L8" s="102" t="s">
        <v>242</v>
      </c>
      <c r="M8" s="102" t="s">
        <v>346</v>
      </c>
      <c r="N8" s="102" t="s">
        <v>249</v>
      </c>
      <c r="O8" s="13" t="s">
        <v>3</v>
      </c>
      <c r="P8" s="102" t="s">
        <v>347</v>
      </c>
      <c r="Q8" s="13" t="s">
        <v>342</v>
      </c>
      <c r="R8" s="102" t="s">
        <v>343</v>
      </c>
      <c r="S8" s="102" t="s">
        <v>344</v>
      </c>
      <c r="T8" s="102" t="s">
        <v>345</v>
      </c>
      <c r="U8" s="13" t="s">
        <v>4</v>
      </c>
      <c r="V8" s="13" t="s">
        <v>3</v>
      </c>
      <c r="W8" s="102" t="s">
        <v>353</v>
      </c>
      <c r="X8" s="102" t="s">
        <v>348</v>
      </c>
      <c r="Y8" s="13" t="s">
        <v>266</v>
      </c>
      <c r="Z8" s="13" t="s">
        <v>268</v>
      </c>
      <c r="AA8" s="102" t="s">
        <v>270</v>
      </c>
      <c r="AB8" s="133" t="s">
        <v>3</v>
      </c>
      <c r="AC8" s="102" t="s">
        <v>349</v>
      </c>
      <c r="AE8" s="136">
        <v>46023</v>
      </c>
      <c r="AF8" s="22" t="s">
        <v>9</v>
      </c>
      <c r="AG8" s="22" t="s">
        <v>7</v>
      </c>
    </row>
    <row r="9" spans="1:36" ht="13.5" customHeight="1">
      <c r="B9" s="147">
        <v>1777</v>
      </c>
      <c r="C9" s="9" t="s">
        <v>370</v>
      </c>
      <c r="D9" s="134" t="s">
        <v>270</v>
      </c>
      <c r="E9" s="13" t="s">
        <v>169</v>
      </c>
      <c r="F9" s="102" t="s">
        <v>349</v>
      </c>
      <c r="G9" s="102" t="s">
        <v>277</v>
      </c>
      <c r="H9" s="102" t="s">
        <v>350</v>
      </c>
      <c r="I9" s="102" t="s">
        <v>351</v>
      </c>
      <c r="J9" s="13" t="s">
        <v>352</v>
      </c>
      <c r="K9" s="133" t="s">
        <v>4</v>
      </c>
      <c r="L9" s="13" t="s">
        <v>3</v>
      </c>
      <c r="M9" s="102" t="s">
        <v>239</v>
      </c>
      <c r="N9" s="13" t="s">
        <v>241</v>
      </c>
      <c r="O9" s="102" t="s">
        <v>242</v>
      </c>
      <c r="P9" s="102" t="s">
        <v>346</v>
      </c>
      <c r="Q9" s="102" t="s">
        <v>249</v>
      </c>
      <c r="R9" s="13" t="s">
        <v>3</v>
      </c>
      <c r="S9" s="102" t="s">
        <v>347</v>
      </c>
      <c r="T9" s="13" t="s">
        <v>342</v>
      </c>
      <c r="U9" s="102" t="s">
        <v>343</v>
      </c>
      <c r="V9" s="102" t="s">
        <v>344</v>
      </c>
      <c r="W9" s="102" t="s">
        <v>345</v>
      </c>
      <c r="X9" s="13" t="s">
        <v>4</v>
      </c>
      <c r="Y9" s="13" t="s">
        <v>3</v>
      </c>
      <c r="Z9" s="102" t="s">
        <v>353</v>
      </c>
      <c r="AA9" s="102" t="s">
        <v>348</v>
      </c>
      <c r="AB9" s="13" t="s">
        <v>266</v>
      </c>
      <c r="AC9" s="13" t="s">
        <v>268</v>
      </c>
      <c r="AE9" s="136">
        <v>46024</v>
      </c>
      <c r="AF9" s="22" t="s">
        <v>16</v>
      </c>
      <c r="AG9" s="22"/>
    </row>
    <row r="10" spans="1:36" ht="13.5" customHeight="1">
      <c r="A10" s="75" t="s">
        <v>120</v>
      </c>
      <c r="Q10" s="12"/>
      <c r="R10" s="84"/>
      <c r="S10" s="24"/>
      <c r="T10" s="24"/>
      <c r="U10" s="24"/>
      <c r="V10" s="24"/>
      <c r="W10" s="24"/>
      <c r="X10" s="24"/>
      <c r="Y10" s="24"/>
      <c r="Z10" s="24"/>
      <c r="AA10" s="24"/>
      <c r="AB10" s="24"/>
      <c r="AC10" s="24"/>
      <c r="AE10" s="136">
        <v>46034</v>
      </c>
      <c r="AF10" s="22" t="s">
        <v>590</v>
      </c>
      <c r="AG10" s="22"/>
    </row>
    <row r="11" spans="1:36" ht="13.5" customHeight="1">
      <c r="A11" s="5">
        <f ca="1">IF(印刷プレビュー!X6="本　日",D61,IF(印刷プレビュー!X6="明　日",D62,IF(印刷プレビュー!X6="明後日",D63,IF(印刷プレビュー!X6="３日後",D64,IF(印刷プレビュー!X6="４日後",D65,IF(印刷プレビュー!X6="５日後",D66,IF(印刷プレビュー!X6="６日後",D67)))))))</f>
        <v>46237</v>
      </c>
      <c r="B11" s="10"/>
      <c r="C11" s="11"/>
      <c r="D11" s="102"/>
      <c r="E11" s="13"/>
      <c r="F11" s="13"/>
      <c r="G11" s="102"/>
      <c r="H11" s="13"/>
      <c r="I11" s="102"/>
      <c r="J11" s="102"/>
      <c r="K11" s="134"/>
      <c r="L11" s="102"/>
      <c r="M11" s="13"/>
      <c r="N11" s="13"/>
      <c r="O11" s="13"/>
      <c r="P11" s="102"/>
      <c r="Q11" s="13"/>
      <c r="R11"/>
      <c r="AE11" s="136">
        <v>46064</v>
      </c>
      <c r="AF11" s="22" t="s">
        <v>13</v>
      </c>
      <c r="AG11" s="22" t="s">
        <v>578</v>
      </c>
      <c r="AI11">
        <v>1715</v>
      </c>
      <c r="AJ11" t="s">
        <v>172</v>
      </c>
    </row>
    <row r="12" spans="1:36" ht="13.5" customHeight="1">
      <c r="A12" s="87" t="str">
        <f ca="1">TEXT(A11,"aaa")</f>
        <v>月</v>
      </c>
      <c r="B12" s="148">
        <v>1807</v>
      </c>
      <c r="C12" s="11" t="s">
        <v>212</v>
      </c>
      <c r="D12" s="102" t="s">
        <v>344</v>
      </c>
      <c r="E12" s="102" t="s">
        <v>345</v>
      </c>
      <c r="F12" s="133" t="s">
        <v>4</v>
      </c>
      <c r="G12" s="13" t="s">
        <v>3</v>
      </c>
      <c r="H12" s="102" t="s">
        <v>353</v>
      </c>
      <c r="I12" s="102" t="s">
        <v>348</v>
      </c>
      <c r="J12" s="13" t="s">
        <v>266</v>
      </c>
      <c r="K12" s="133" t="s">
        <v>268</v>
      </c>
      <c r="L12" s="102" t="s">
        <v>270</v>
      </c>
      <c r="M12" s="13" t="s">
        <v>3</v>
      </c>
      <c r="N12" s="102" t="s">
        <v>349</v>
      </c>
      <c r="O12" s="102" t="s">
        <v>277</v>
      </c>
      <c r="P12" s="102" t="s">
        <v>350</v>
      </c>
      <c r="Q12" s="102" t="s">
        <v>351</v>
      </c>
      <c r="R12" s="13" t="s">
        <v>352</v>
      </c>
      <c r="S12" s="13" t="s">
        <v>4</v>
      </c>
      <c r="T12" s="13" t="s">
        <v>3</v>
      </c>
      <c r="U12" s="102" t="s">
        <v>239</v>
      </c>
      <c r="V12" s="133" t="s">
        <v>241</v>
      </c>
      <c r="W12" s="102" t="s">
        <v>242</v>
      </c>
      <c r="X12" s="102" t="s">
        <v>346</v>
      </c>
      <c r="Y12" s="102" t="s">
        <v>249</v>
      </c>
      <c r="Z12" s="13" t="s">
        <v>3</v>
      </c>
      <c r="AA12" s="102" t="s">
        <v>347</v>
      </c>
      <c r="AB12" s="13" t="s">
        <v>342</v>
      </c>
      <c r="AC12" s="102" t="s">
        <v>343</v>
      </c>
      <c r="AE12" s="136">
        <v>46076</v>
      </c>
      <c r="AF12" s="22" t="s">
        <v>8</v>
      </c>
      <c r="AG12" s="22" t="s">
        <v>579</v>
      </c>
    </row>
    <row r="13" spans="1:36" ht="13.5" customHeight="1">
      <c r="A13" s="88" t="str">
        <f ca="1">IF(A12="火","休館","営業")</f>
        <v>営業</v>
      </c>
      <c r="B13" s="147">
        <v>1808</v>
      </c>
      <c r="C13" s="9" t="s">
        <v>175</v>
      </c>
      <c r="D13" s="102" t="s">
        <v>347</v>
      </c>
      <c r="E13" s="13" t="s">
        <v>342</v>
      </c>
      <c r="F13" s="102" t="s">
        <v>343</v>
      </c>
      <c r="G13" s="102" t="s">
        <v>344</v>
      </c>
      <c r="H13" s="102" t="s">
        <v>345</v>
      </c>
      <c r="I13" s="133" t="s">
        <v>4</v>
      </c>
      <c r="J13" s="13" t="s">
        <v>3</v>
      </c>
      <c r="K13" s="134" t="s">
        <v>353</v>
      </c>
      <c r="L13" s="102" t="s">
        <v>348</v>
      </c>
      <c r="M13" s="13" t="s">
        <v>266</v>
      </c>
      <c r="N13" s="13" t="s">
        <v>268</v>
      </c>
      <c r="O13" s="102" t="s">
        <v>270</v>
      </c>
      <c r="P13" s="13" t="s">
        <v>3</v>
      </c>
      <c r="Q13" s="102" t="s">
        <v>349</v>
      </c>
      <c r="R13" s="102" t="s">
        <v>277</v>
      </c>
      <c r="S13" s="102" t="s">
        <v>350</v>
      </c>
      <c r="T13" s="102" t="s">
        <v>351</v>
      </c>
      <c r="U13" s="13" t="s">
        <v>352</v>
      </c>
      <c r="V13" s="13" t="s">
        <v>4</v>
      </c>
      <c r="W13" s="13" t="s">
        <v>3</v>
      </c>
      <c r="X13" s="102" t="s">
        <v>239</v>
      </c>
      <c r="Y13" s="133" t="s">
        <v>241</v>
      </c>
      <c r="Z13" s="102" t="s">
        <v>242</v>
      </c>
      <c r="AA13" s="102" t="s">
        <v>346</v>
      </c>
      <c r="AB13" s="102" t="s">
        <v>249</v>
      </c>
      <c r="AC13" s="13" t="s">
        <v>3</v>
      </c>
      <c r="AD13" s="102"/>
      <c r="AE13" s="136">
        <v>46101</v>
      </c>
      <c r="AF13" s="22" t="s">
        <v>16</v>
      </c>
      <c r="AG13" s="22" t="s">
        <v>11</v>
      </c>
      <c r="AI13">
        <v>1777</v>
      </c>
      <c r="AJ13" t="s">
        <v>173</v>
      </c>
    </row>
    <row r="14" spans="1:36" ht="13.5" customHeight="1">
      <c r="A14" s="77"/>
      <c r="B14" s="147">
        <v>1800</v>
      </c>
      <c r="C14" s="9" t="s">
        <v>194</v>
      </c>
      <c r="D14" s="13" t="s">
        <v>3</v>
      </c>
      <c r="E14" s="102" t="s">
        <v>349</v>
      </c>
      <c r="F14" s="102" t="s">
        <v>277</v>
      </c>
      <c r="G14" s="102" t="s">
        <v>350</v>
      </c>
      <c r="H14" s="102" t="s">
        <v>351</v>
      </c>
      <c r="I14" s="13" t="s">
        <v>352</v>
      </c>
      <c r="J14" s="13" t="s">
        <v>4</v>
      </c>
      <c r="K14" s="133" t="s">
        <v>3</v>
      </c>
      <c r="L14" s="102" t="s">
        <v>353</v>
      </c>
      <c r="M14" s="102" t="s">
        <v>348</v>
      </c>
      <c r="N14" s="13" t="s">
        <v>266</v>
      </c>
      <c r="O14" s="13" t="s">
        <v>268</v>
      </c>
      <c r="P14" s="102" t="s">
        <v>270</v>
      </c>
      <c r="Q14" s="13" t="s">
        <v>3</v>
      </c>
      <c r="R14" s="102" t="s">
        <v>349</v>
      </c>
      <c r="S14" s="102" t="s">
        <v>277</v>
      </c>
      <c r="T14" s="102" t="s">
        <v>350</v>
      </c>
      <c r="U14" s="102" t="s">
        <v>351</v>
      </c>
      <c r="V14" s="13" t="s">
        <v>352</v>
      </c>
      <c r="W14" s="13" t="s">
        <v>4</v>
      </c>
      <c r="X14" s="13" t="s">
        <v>3</v>
      </c>
      <c r="Y14" s="102" t="s">
        <v>239</v>
      </c>
      <c r="Z14" s="133" t="s">
        <v>241</v>
      </c>
      <c r="AA14" s="102" t="s">
        <v>242</v>
      </c>
      <c r="AB14" s="102" t="s">
        <v>346</v>
      </c>
      <c r="AC14" s="102" t="s">
        <v>249</v>
      </c>
      <c r="AE14" s="136">
        <v>46141</v>
      </c>
      <c r="AF14" s="22" t="s">
        <v>13</v>
      </c>
      <c r="AG14" s="22" t="s">
        <v>12</v>
      </c>
    </row>
    <row r="15" spans="1:36" ht="13.5" customHeight="1">
      <c r="A15" t="s">
        <v>216</v>
      </c>
      <c r="B15" s="10">
        <v>1832</v>
      </c>
      <c r="C15" s="13" t="s">
        <v>542</v>
      </c>
      <c r="D15" s="13" t="s">
        <v>4</v>
      </c>
      <c r="E15" s="13" t="s">
        <v>3</v>
      </c>
      <c r="F15" s="102" t="s">
        <v>353</v>
      </c>
      <c r="G15" s="102" t="s">
        <v>348</v>
      </c>
      <c r="H15" s="13" t="s">
        <v>266</v>
      </c>
      <c r="I15" s="13" t="s">
        <v>268</v>
      </c>
      <c r="J15" s="102" t="s">
        <v>270</v>
      </c>
      <c r="K15" s="133" t="s">
        <v>3</v>
      </c>
      <c r="L15" s="102" t="s">
        <v>349</v>
      </c>
      <c r="M15" s="102" t="s">
        <v>277</v>
      </c>
      <c r="N15" s="102" t="s">
        <v>350</v>
      </c>
      <c r="O15" s="102" t="s">
        <v>351</v>
      </c>
      <c r="P15" s="13" t="s">
        <v>352</v>
      </c>
      <c r="Q15" s="13" t="s">
        <v>4</v>
      </c>
      <c r="R15" s="13" t="s">
        <v>3</v>
      </c>
      <c r="S15" s="102" t="s">
        <v>239</v>
      </c>
      <c r="T15" s="133" t="s">
        <v>241</v>
      </c>
      <c r="U15" s="102" t="s">
        <v>242</v>
      </c>
      <c r="V15" s="102" t="s">
        <v>346</v>
      </c>
      <c r="W15" s="102" t="s">
        <v>249</v>
      </c>
      <c r="X15" s="13" t="s">
        <v>3</v>
      </c>
      <c r="Y15" s="102" t="s">
        <v>347</v>
      </c>
      <c r="Z15" s="13" t="s">
        <v>342</v>
      </c>
      <c r="AA15" s="102" t="s">
        <v>343</v>
      </c>
      <c r="AB15" s="102" t="s">
        <v>344</v>
      </c>
      <c r="AC15" s="102" t="s">
        <v>345</v>
      </c>
      <c r="AE15" s="136">
        <v>46145</v>
      </c>
      <c r="AF15" s="22" t="s">
        <v>6</v>
      </c>
      <c r="AG15" s="22" t="s">
        <v>14</v>
      </c>
    </row>
    <row r="16" spans="1:36" ht="13.5" customHeight="1">
      <c r="A16" s="131">
        <v>45369</v>
      </c>
      <c r="B16" s="8">
        <v>1855</v>
      </c>
      <c r="C16" s="9" t="s">
        <v>206</v>
      </c>
      <c r="D16" s="141" t="s">
        <v>382</v>
      </c>
      <c r="E16" s="141" t="s">
        <v>381</v>
      </c>
      <c r="F16" s="141" t="s">
        <v>380</v>
      </c>
      <c r="G16" s="141" t="s">
        <v>379</v>
      </c>
      <c r="H16" s="142" t="s">
        <v>4</v>
      </c>
      <c r="I16" s="143" t="s">
        <v>3</v>
      </c>
      <c r="J16" s="141" t="s">
        <v>408</v>
      </c>
      <c r="K16" s="141" t="s">
        <v>382</v>
      </c>
      <c r="L16" s="141" t="s">
        <v>381</v>
      </c>
      <c r="M16" s="141" t="s">
        <v>380</v>
      </c>
      <c r="N16" s="141" t="s">
        <v>379</v>
      </c>
      <c r="O16" s="142" t="s">
        <v>3</v>
      </c>
      <c r="P16" s="141" t="s">
        <v>408</v>
      </c>
      <c r="Q16" s="141" t="s">
        <v>382</v>
      </c>
      <c r="R16" s="141" t="s">
        <v>381</v>
      </c>
      <c r="S16" s="141" t="s">
        <v>380</v>
      </c>
      <c r="T16" s="141" t="s">
        <v>379</v>
      </c>
      <c r="U16" s="142" t="s">
        <v>4</v>
      </c>
      <c r="V16" s="143" t="s">
        <v>3</v>
      </c>
      <c r="W16" s="144" t="s">
        <v>537</v>
      </c>
      <c r="X16" s="141" t="s">
        <v>382</v>
      </c>
      <c r="Y16" s="141" t="s">
        <v>381</v>
      </c>
      <c r="Z16" s="141" t="s">
        <v>380</v>
      </c>
      <c r="AA16" s="141" t="s">
        <v>379</v>
      </c>
      <c r="AB16" s="142" t="s">
        <v>3</v>
      </c>
      <c r="AC16" s="141" t="s">
        <v>408</v>
      </c>
      <c r="AD16" s="47"/>
      <c r="AE16" s="136">
        <v>46146</v>
      </c>
      <c r="AF16" s="22" t="s">
        <v>8</v>
      </c>
      <c r="AG16" s="22" t="s">
        <v>15</v>
      </c>
    </row>
    <row r="17" spans="1:36" ht="13.5" customHeight="1">
      <c r="A17" t="s">
        <v>218</v>
      </c>
      <c r="B17" s="148">
        <v>1862</v>
      </c>
      <c r="C17" s="11" t="s">
        <v>176</v>
      </c>
      <c r="D17" s="13" t="s">
        <v>342</v>
      </c>
      <c r="E17" s="102" t="s">
        <v>343</v>
      </c>
      <c r="F17" s="102" t="s">
        <v>344</v>
      </c>
      <c r="G17" s="102" t="s">
        <v>345</v>
      </c>
      <c r="H17" s="13" t="s">
        <v>4</v>
      </c>
      <c r="I17" s="13" t="s">
        <v>3</v>
      </c>
      <c r="J17" s="102" t="s">
        <v>353</v>
      </c>
      <c r="K17" s="134" t="s">
        <v>348</v>
      </c>
      <c r="L17" s="13" t="s">
        <v>266</v>
      </c>
      <c r="M17" s="13" t="s">
        <v>268</v>
      </c>
      <c r="N17" s="102" t="s">
        <v>270</v>
      </c>
      <c r="O17" s="13" t="s">
        <v>169</v>
      </c>
      <c r="P17" s="102" t="s">
        <v>349</v>
      </c>
      <c r="Q17" s="102" t="s">
        <v>277</v>
      </c>
      <c r="R17" s="102" t="s">
        <v>350</v>
      </c>
      <c r="S17" s="102" t="s">
        <v>351</v>
      </c>
      <c r="T17" s="13" t="s">
        <v>352</v>
      </c>
      <c r="U17" s="13" t="s">
        <v>4</v>
      </c>
      <c r="V17" s="13" t="s">
        <v>3</v>
      </c>
      <c r="W17" s="102" t="s">
        <v>239</v>
      </c>
      <c r="X17" s="133" t="s">
        <v>241</v>
      </c>
      <c r="Y17" s="102" t="s">
        <v>242</v>
      </c>
      <c r="Z17" s="102" t="s">
        <v>346</v>
      </c>
      <c r="AA17" s="102" t="s">
        <v>249</v>
      </c>
      <c r="AB17" s="13" t="s">
        <v>3</v>
      </c>
      <c r="AC17" s="102" t="s">
        <v>347</v>
      </c>
      <c r="AE17" s="136">
        <v>46147</v>
      </c>
      <c r="AF17" s="22" t="s">
        <v>10</v>
      </c>
      <c r="AG17" s="22" t="s">
        <v>17</v>
      </c>
      <c r="AI17">
        <v>1805</v>
      </c>
      <c r="AJ17" t="s">
        <v>174</v>
      </c>
    </row>
    <row r="18" spans="1:36" ht="13.5" customHeight="1">
      <c r="A18" s="66">
        <f ca="1">A1</f>
        <v>46237</v>
      </c>
      <c r="B18" s="149">
        <v>1806</v>
      </c>
      <c r="C18" s="84" t="s">
        <v>174</v>
      </c>
      <c r="D18" s="102" t="s">
        <v>345</v>
      </c>
      <c r="E18" s="13" t="s">
        <v>4</v>
      </c>
      <c r="F18" s="13" t="s">
        <v>3</v>
      </c>
      <c r="G18" s="134" t="s">
        <v>353</v>
      </c>
      <c r="H18" s="134" t="s">
        <v>348</v>
      </c>
      <c r="I18" s="13" t="s">
        <v>266</v>
      </c>
      <c r="J18" s="13" t="s">
        <v>268</v>
      </c>
      <c r="K18" s="134" t="s">
        <v>270</v>
      </c>
      <c r="L18" s="13" t="s">
        <v>169</v>
      </c>
      <c r="M18" s="102" t="s">
        <v>349</v>
      </c>
      <c r="N18" s="102" t="s">
        <v>277</v>
      </c>
      <c r="O18" s="102" t="s">
        <v>350</v>
      </c>
      <c r="P18" s="102" t="s">
        <v>351</v>
      </c>
      <c r="Q18" s="13" t="s">
        <v>352</v>
      </c>
      <c r="R18" s="13" t="s">
        <v>4</v>
      </c>
      <c r="S18" s="13" t="s">
        <v>3</v>
      </c>
      <c r="T18" s="102" t="s">
        <v>239</v>
      </c>
      <c r="U18" s="133" t="s">
        <v>241</v>
      </c>
      <c r="V18" s="102" t="s">
        <v>242</v>
      </c>
      <c r="W18" s="102" t="s">
        <v>346</v>
      </c>
      <c r="X18" s="102" t="s">
        <v>249</v>
      </c>
      <c r="Y18" s="13" t="s">
        <v>3</v>
      </c>
      <c r="Z18" s="102" t="s">
        <v>347</v>
      </c>
      <c r="AA18" s="13" t="s">
        <v>342</v>
      </c>
      <c r="AB18" s="102" t="s">
        <v>343</v>
      </c>
      <c r="AC18" s="102" t="s">
        <v>344</v>
      </c>
      <c r="AE18" s="136">
        <v>46148</v>
      </c>
      <c r="AF18" s="22" t="s">
        <v>13</v>
      </c>
      <c r="AG18" s="22" t="s">
        <v>20</v>
      </c>
      <c r="AI18">
        <v>1808</v>
      </c>
      <c r="AJ18" t="s">
        <v>175</v>
      </c>
    </row>
    <row r="19" spans="1:36" ht="13.5" customHeight="1">
      <c r="A19" t="s">
        <v>217</v>
      </c>
      <c r="Q19" s="13"/>
      <c r="R19" s="11"/>
      <c r="S19" s="13"/>
      <c r="AE19" s="136">
        <v>46223</v>
      </c>
      <c r="AF19" s="22" t="s">
        <v>8</v>
      </c>
      <c r="AG19" s="22" t="s">
        <v>580</v>
      </c>
    </row>
    <row r="20" spans="1:36">
      <c r="A20">
        <f ca="1">_xlfn.DAYS(A18,A16)</f>
        <v>868</v>
      </c>
      <c r="B20" s="147">
        <v>1889</v>
      </c>
      <c r="C20" s="9" t="s">
        <v>204</v>
      </c>
      <c r="D20" s="102" t="s">
        <v>351</v>
      </c>
      <c r="E20" s="13" t="s">
        <v>352</v>
      </c>
      <c r="F20" s="13" t="s">
        <v>4</v>
      </c>
      <c r="G20" s="133" t="s">
        <v>3</v>
      </c>
      <c r="H20" s="102" t="s">
        <v>239</v>
      </c>
      <c r="I20" s="133" t="s">
        <v>241</v>
      </c>
      <c r="J20" s="102" t="s">
        <v>242</v>
      </c>
      <c r="K20" s="102" t="s">
        <v>346</v>
      </c>
      <c r="L20" s="102" t="s">
        <v>249</v>
      </c>
      <c r="M20" s="13" t="s">
        <v>169</v>
      </c>
      <c r="N20" s="102" t="s">
        <v>347</v>
      </c>
      <c r="O20" s="13" t="s">
        <v>342</v>
      </c>
      <c r="P20" s="102" t="s">
        <v>343</v>
      </c>
      <c r="Q20" s="102" t="s">
        <v>344</v>
      </c>
      <c r="R20" s="102" t="s">
        <v>345</v>
      </c>
      <c r="S20" s="142" t="s">
        <v>4</v>
      </c>
      <c r="T20" s="143" t="s">
        <v>3</v>
      </c>
      <c r="U20" s="102" t="s">
        <v>353</v>
      </c>
      <c r="V20" s="102" t="s">
        <v>348</v>
      </c>
      <c r="W20" s="13" t="s">
        <v>266</v>
      </c>
      <c r="X20" s="13" t="s">
        <v>268</v>
      </c>
      <c r="Y20" s="134" t="s">
        <v>270</v>
      </c>
      <c r="Z20" s="13" t="s">
        <v>169</v>
      </c>
      <c r="AA20" s="102" t="s">
        <v>349</v>
      </c>
      <c r="AB20" s="102" t="s">
        <v>277</v>
      </c>
      <c r="AC20" s="102" t="s">
        <v>350</v>
      </c>
      <c r="AE20" s="136">
        <v>46245</v>
      </c>
      <c r="AF20" s="22" t="s">
        <v>10</v>
      </c>
      <c r="AG20" s="22" t="s">
        <v>584</v>
      </c>
      <c r="AI20">
        <v>1832</v>
      </c>
      <c r="AJ20" t="s">
        <v>168</v>
      </c>
    </row>
    <row r="21" spans="1:36">
      <c r="A21" s="69">
        <f ca="1">MOD(A20,26)</f>
        <v>10</v>
      </c>
      <c r="B21" s="148">
        <v>1893</v>
      </c>
      <c r="C21" s="13" t="s">
        <v>198</v>
      </c>
      <c r="D21" s="102" t="s">
        <v>249</v>
      </c>
      <c r="E21" s="13" t="s">
        <v>3</v>
      </c>
      <c r="F21" s="102" t="s">
        <v>347</v>
      </c>
      <c r="G21" s="13" t="s">
        <v>342</v>
      </c>
      <c r="H21" s="102" t="s">
        <v>343</v>
      </c>
      <c r="I21" s="102" t="s">
        <v>344</v>
      </c>
      <c r="J21" s="102" t="s">
        <v>345</v>
      </c>
      <c r="K21" s="13" t="s">
        <v>4</v>
      </c>
      <c r="L21" s="13" t="s">
        <v>3</v>
      </c>
      <c r="M21" s="102" t="s">
        <v>353</v>
      </c>
      <c r="N21" s="102" t="s">
        <v>348</v>
      </c>
      <c r="O21" s="13" t="s">
        <v>266</v>
      </c>
      <c r="P21" s="13" t="s">
        <v>268</v>
      </c>
      <c r="Q21" s="102" t="s">
        <v>270</v>
      </c>
      <c r="R21" s="13" t="s">
        <v>3</v>
      </c>
      <c r="S21" s="102" t="s">
        <v>349</v>
      </c>
      <c r="T21" s="102" t="s">
        <v>277</v>
      </c>
      <c r="U21" s="102" t="s">
        <v>350</v>
      </c>
      <c r="V21" s="102" t="s">
        <v>351</v>
      </c>
      <c r="W21" s="13" t="s">
        <v>352</v>
      </c>
      <c r="X21" s="13" t="s">
        <v>4</v>
      </c>
      <c r="Y21" s="13" t="s">
        <v>3</v>
      </c>
      <c r="Z21" s="102" t="s">
        <v>239</v>
      </c>
      <c r="AA21" s="133" t="s">
        <v>241</v>
      </c>
      <c r="AB21" s="102" t="s">
        <v>242</v>
      </c>
      <c r="AC21" s="102" t="s">
        <v>346</v>
      </c>
      <c r="AE21" s="136">
        <v>46247</v>
      </c>
      <c r="AF21" s="22" t="s">
        <v>436</v>
      </c>
      <c r="AG21" s="22" t="s">
        <v>435</v>
      </c>
    </row>
    <row r="22" spans="1:36">
      <c r="B22" s="8">
        <v>1927</v>
      </c>
      <c r="C22" s="9" t="s">
        <v>162</v>
      </c>
      <c r="D22" s="102" t="s">
        <v>359</v>
      </c>
      <c r="E22" s="104" t="s">
        <v>360</v>
      </c>
      <c r="F22" s="102" t="s">
        <v>298</v>
      </c>
      <c r="G22" s="102" t="s">
        <v>300</v>
      </c>
      <c r="H22" s="102" t="s">
        <v>301</v>
      </c>
      <c r="I22" s="104" t="s">
        <v>3</v>
      </c>
      <c r="J22" s="13" t="s">
        <v>354</v>
      </c>
      <c r="K22" s="133" t="s">
        <v>355</v>
      </c>
      <c r="L22" s="102" t="s">
        <v>356</v>
      </c>
      <c r="M22" s="102" t="s">
        <v>357</v>
      </c>
      <c r="N22" s="102" t="s">
        <v>358</v>
      </c>
      <c r="O22" s="13" t="s">
        <v>4</v>
      </c>
      <c r="P22" s="104" t="s">
        <v>3</v>
      </c>
      <c r="Q22" s="102" t="s">
        <v>359</v>
      </c>
      <c r="R22" s="104" t="s">
        <v>360</v>
      </c>
      <c r="S22" s="102" t="s">
        <v>298</v>
      </c>
      <c r="T22" s="102" t="s">
        <v>300</v>
      </c>
      <c r="U22" s="102" t="s">
        <v>301</v>
      </c>
      <c r="V22" s="104" t="s">
        <v>3</v>
      </c>
      <c r="W22" s="13" t="s">
        <v>354</v>
      </c>
      <c r="X22" s="133" t="s">
        <v>355</v>
      </c>
      <c r="Y22" s="102" t="s">
        <v>356</v>
      </c>
      <c r="Z22" s="102" t="s">
        <v>357</v>
      </c>
      <c r="AA22" s="102" t="s">
        <v>358</v>
      </c>
      <c r="AB22" s="13" t="s">
        <v>4</v>
      </c>
      <c r="AC22" s="104" t="s">
        <v>3</v>
      </c>
      <c r="AE22" s="136">
        <v>46248</v>
      </c>
      <c r="AF22" s="22" t="s">
        <v>9</v>
      </c>
      <c r="AG22" s="22" t="s">
        <v>435</v>
      </c>
    </row>
    <row r="23" spans="1:36">
      <c r="B23" s="10"/>
      <c r="C23" s="11"/>
      <c r="R23" s="11"/>
      <c r="AE23" s="136">
        <v>46249</v>
      </c>
      <c r="AF23" s="22" t="s">
        <v>16</v>
      </c>
      <c r="AG23" s="22" t="s">
        <v>435</v>
      </c>
      <c r="AI23">
        <v>1862</v>
      </c>
      <c r="AJ23" t="s">
        <v>176</v>
      </c>
    </row>
    <row r="24" spans="1:36">
      <c r="B24" s="69">
        <v>1916</v>
      </c>
      <c r="C24" t="s">
        <v>178</v>
      </c>
      <c r="D24" s="13" t="s">
        <v>352</v>
      </c>
      <c r="E24" s="13" t="s">
        <v>4</v>
      </c>
      <c r="F24" s="13" t="s">
        <v>3</v>
      </c>
      <c r="G24" s="102" t="s">
        <v>239</v>
      </c>
      <c r="H24" s="133" t="s">
        <v>241</v>
      </c>
      <c r="I24" s="102" t="s">
        <v>242</v>
      </c>
      <c r="J24" s="102" t="s">
        <v>346</v>
      </c>
      <c r="K24" s="102" t="s">
        <v>249</v>
      </c>
      <c r="L24" s="13" t="s">
        <v>169</v>
      </c>
      <c r="M24" s="102" t="s">
        <v>347</v>
      </c>
      <c r="N24" s="13" t="s">
        <v>342</v>
      </c>
      <c r="O24" s="102" t="s">
        <v>343</v>
      </c>
      <c r="P24" s="102" t="s">
        <v>344</v>
      </c>
      <c r="Q24" s="102" t="s">
        <v>345</v>
      </c>
      <c r="R24" s="13" t="s">
        <v>4</v>
      </c>
      <c r="S24" s="13" t="s">
        <v>3</v>
      </c>
      <c r="T24" s="102" t="s">
        <v>353</v>
      </c>
      <c r="U24" s="102" t="s">
        <v>348</v>
      </c>
      <c r="V24" s="13" t="s">
        <v>266</v>
      </c>
      <c r="W24" s="13" t="s">
        <v>268</v>
      </c>
      <c r="X24" s="102" t="s">
        <v>270</v>
      </c>
      <c r="Y24" s="133" t="s">
        <v>3</v>
      </c>
      <c r="Z24" s="102" t="s">
        <v>349</v>
      </c>
      <c r="AA24" s="102" t="s">
        <v>277</v>
      </c>
      <c r="AB24" s="102" t="s">
        <v>350</v>
      </c>
      <c r="AC24" s="102" t="s">
        <v>351</v>
      </c>
      <c r="AE24" s="136">
        <v>46286</v>
      </c>
      <c r="AF24" s="22" t="s">
        <v>8</v>
      </c>
      <c r="AG24" s="22" t="s">
        <v>581</v>
      </c>
    </row>
    <row r="25" spans="1:36">
      <c r="B25" s="10">
        <v>1950</v>
      </c>
      <c r="C25" s="11" t="s">
        <v>155</v>
      </c>
      <c r="D25" s="102" t="s">
        <v>356</v>
      </c>
      <c r="E25" s="102" t="s">
        <v>357</v>
      </c>
      <c r="F25" s="102" t="s">
        <v>358</v>
      </c>
      <c r="G25" s="13" t="s">
        <v>4</v>
      </c>
      <c r="H25" s="104" t="s">
        <v>3</v>
      </c>
      <c r="I25" s="102" t="s">
        <v>359</v>
      </c>
      <c r="J25" s="104" t="s">
        <v>360</v>
      </c>
      <c r="K25" s="134" t="s">
        <v>298</v>
      </c>
      <c r="L25" s="102" t="s">
        <v>300</v>
      </c>
      <c r="M25" s="102" t="s">
        <v>301</v>
      </c>
      <c r="N25" s="13" t="s">
        <v>3</v>
      </c>
      <c r="O25" s="13" t="s">
        <v>354</v>
      </c>
      <c r="P25" s="13" t="s">
        <v>355</v>
      </c>
      <c r="Q25" s="102" t="s">
        <v>356</v>
      </c>
      <c r="R25" s="102" t="s">
        <v>357</v>
      </c>
      <c r="S25" s="102" t="s">
        <v>358</v>
      </c>
      <c r="T25" s="13" t="s">
        <v>4</v>
      </c>
      <c r="U25" s="104" t="s">
        <v>3</v>
      </c>
      <c r="V25" s="102" t="s">
        <v>359</v>
      </c>
      <c r="W25" s="104" t="s">
        <v>360</v>
      </c>
      <c r="X25" s="134" t="s">
        <v>298</v>
      </c>
      <c r="Y25" s="102" t="s">
        <v>300</v>
      </c>
      <c r="Z25" s="102" t="s">
        <v>301</v>
      </c>
      <c r="AA25" s="13" t="s">
        <v>3</v>
      </c>
      <c r="AB25" s="13" t="s">
        <v>354</v>
      </c>
      <c r="AC25" s="13" t="s">
        <v>355</v>
      </c>
      <c r="AE25" s="136">
        <v>46287</v>
      </c>
      <c r="AF25" s="22" t="s">
        <v>10</v>
      </c>
      <c r="AG25" s="22" t="s">
        <v>582</v>
      </c>
      <c r="AI25">
        <v>1893</v>
      </c>
      <c r="AJ25" t="s">
        <v>177</v>
      </c>
    </row>
    <row r="26" spans="1:36" ht="13.5" customHeight="1">
      <c r="B26" s="8">
        <v>1961</v>
      </c>
      <c r="C26" s="9" t="s">
        <v>199</v>
      </c>
      <c r="D26" s="13" t="s">
        <v>354</v>
      </c>
      <c r="E26" s="13" t="s">
        <v>355</v>
      </c>
      <c r="F26" s="102" t="s">
        <v>356</v>
      </c>
      <c r="G26" s="102" t="s">
        <v>357</v>
      </c>
      <c r="H26" s="102" t="s">
        <v>358</v>
      </c>
      <c r="I26" s="13" t="s">
        <v>4</v>
      </c>
      <c r="J26" s="104" t="s">
        <v>3</v>
      </c>
      <c r="K26" s="134" t="s">
        <v>359</v>
      </c>
      <c r="L26" s="104" t="s">
        <v>360</v>
      </c>
      <c r="M26" s="102" t="s">
        <v>298</v>
      </c>
      <c r="N26" s="102" t="s">
        <v>300</v>
      </c>
      <c r="O26" s="102" t="s">
        <v>301</v>
      </c>
      <c r="P26" s="13" t="s">
        <v>3</v>
      </c>
      <c r="Q26" s="13" t="s">
        <v>354</v>
      </c>
      <c r="R26" s="13" t="s">
        <v>355</v>
      </c>
      <c r="S26" s="102" t="s">
        <v>356</v>
      </c>
      <c r="T26" s="102" t="s">
        <v>357</v>
      </c>
      <c r="U26" s="102" t="s">
        <v>358</v>
      </c>
      <c r="V26" s="13" t="s">
        <v>4</v>
      </c>
      <c r="W26" s="104" t="s">
        <v>3</v>
      </c>
      <c r="X26" s="134" t="s">
        <v>359</v>
      </c>
      <c r="Y26" s="104" t="s">
        <v>360</v>
      </c>
      <c r="Z26" s="102" t="s">
        <v>298</v>
      </c>
      <c r="AA26" s="102" t="s">
        <v>300</v>
      </c>
      <c r="AB26" s="102" t="s">
        <v>301</v>
      </c>
      <c r="AC26" s="13" t="s">
        <v>3</v>
      </c>
      <c r="AE26" s="136">
        <v>46288</v>
      </c>
      <c r="AF26" s="22" t="s">
        <v>13</v>
      </c>
      <c r="AG26" s="22" t="s">
        <v>18</v>
      </c>
    </row>
    <row r="27" spans="1:36">
      <c r="B27" s="10"/>
      <c r="C27" s="11"/>
      <c r="D27" s="102"/>
      <c r="E27" s="102"/>
      <c r="F27" s="102"/>
      <c r="G27" s="104"/>
      <c r="H27" s="102"/>
      <c r="I27" s="102"/>
      <c r="J27" s="102"/>
      <c r="K27" s="134"/>
      <c r="L27" s="102"/>
      <c r="M27" s="104"/>
      <c r="N27" s="104"/>
      <c r="O27" s="102"/>
      <c r="P27" s="102"/>
      <c r="Q27" s="102"/>
      <c r="R27" s="11"/>
      <c r="AE27" s="136">
        <v>46307</v>
      </c>
      <c r="AF27" s="22" t="s">
        <v>8</v>
      </c>
      <c r="AG27" s="22" t="s">
        <v>585</v>
      </c>
      <c r="AI27">
        <v>1916</v>
      </c>
      <c r="AJ27" t="s">
        <v>178</v>
      </c>
    </row>
    <row r="28" spans="1:36">
      <c r="B28" s="147">
        <v>1861</v>
      </c>
      <c r="C28" s="9" t="s">
        <v>410</v>
      </c>
      <c r="D28" s="102" t="s">
        <v>343</v>
      </c>
      <c r="E28" s="102" t="s">
        <v>344</v>
      </c>
      <c r="F28" s="102" t="s">
        <v>345</v>
      </c>
      <c r="G28" s="13" t="s">
        <v>4</v>
      </c>
      <c r="H28" s="13" t="s">
        <v>3</v>
      </c>
      <c r="I28" s="134" t="s">
        <v>353</v>
      </c>
      <c r="J28" s="102" t="s">
        <v>348</v>
      </c>
      <c r="K28" s="13" t="s">
        <v>266</v>
      </c>
      <c r="L28" s="13" t="s">
        <v>268</v>
      </c>
      <c r="M28" s="102" t="s">
        <v>270</v>
      </c>
      <c r="N28" s="13" t="s">
        <v>3</v>
      </c>
      <c r="O28" s="102" t="s">
        <v>349</v>
      </c>
      <c r="P28" s="102" t="s">
        <v>277</v>
      </c>
      <c r="Q28" s="102" t="s">
        <v>350</v>
      </c>
      <c r="R28" s="102" t="s">
        <v>351</v>
      </c>
      <c r="S28" s="13" t="s">
        <v>352</v>
      </c>
      <c r="T28" s="13" t="s">
        <v>4</v>
      </c>
      <c r="U28" s="13" t="s">
        <v>3</v>
      </c>
      <c r="V28" s="102" t="s">
        <v>239</v>
      </c>
      <c r="W28" s="133" t="s">
        <v>241</v>
      </c>
      <c r="X28" s="102" t="s">
        <v>242</v>
      </c>
      <c r="Y28" s="102" t="s">
        <v>346</v>
      </c>
      <c r="Z28" s="102" t="s">
        <v>249</v>
      </c>
      <c r="AA28" s="13" t="s">
        <v>3</v>
      </c>
      <c r="AB28" s="102" t="s">
        <v>347</v>
      </c>
      <c r="AC28" s="13" t="s">
        <v>342</v>
      </c>
      <c r="AE28" s="136">
        <v>46329</v>
      </c>
      <c r="AF28" s="22" t="s">
        <v>10</v>
      </c>
      <c r="AG28" s="22" t="s">
        <v>583</v>
      </c>
    </row>
    <row r="29" spans="1:36">
      <c r="Q29" s="102"/>
      <c r="R29" s="11"/>
      <c r="AE29" s="136">
        <v>46349</v>
      </c>
      <c r="AF29" s="22" t="s">
        <v>8</v>
      </c>
      <c r="AG29" s="22" t="s">
        <v>586</v>
      </c>
      <c r="AI29">
        <v>1927</v>
      </c>
      <c r="AJ29" t="s">
        <v>162</v>
      </c>
    </row>
    <row r="30" spans="1:36">
      <c r="D30" s="102"/>
      <c r="E30" s="102"/>
      <c r="F30" s="13"/>
      <c r="G30" s="13"/>
      <c r="H30" s="13"/>
      <c r="I30" s="102"/>
      <c r="J30" s="102"/>
      <c r="K30" s="134"/>
      <c r="L30" s="13"/>
      <c r="M30" s="13"/>
      <c r="N30" s="102"/>
      <c r="O30" s="13"/>
      <c r="P30" s="102"/>
      <c r="Q30" s="102"/>
      <c r="R30" s="134"/>
      <c r="S30" s="13"/>
      <c r="T30" s="13"/>
      <c r="U30" s="13"/>
      <c r="V30" s="102"/>
      <c r="W30" s="102"/>
      <c r="X30" s="134"/>
      <c r="Y30" s="13"/>
      <c r="Z30" s="13"/>
      <c r="AA30" s="102"/>
      <c r="AB30" s="13"/>
      <c r="AC30" s="102"/>
      <c r="AE30" s="136">
        <v>46385</v>
      </c>
      <c r="AF30" s="22" t="s">
        <v>437</v>
      </c>
      <c r="AG30" s="22"/>
      <c r="AI30">
        <v>1994</v>
      </c>
      <c r="AJ30" t="s">
        <v>179</v>
      </c>
    </row>
    <row r="31" spans="1:36">
      <c r="B31" s="10">
        <v>1699</v>
      </c>
      <c r="C31" s="11" t="s">
        <v>167</v>
      </c>
      <c r="D31" s="13" t="s">
        <v>337</v>
      </c>
      <c r="E31" s="13" t="s">
        <v>338</v>
      </c>
      <c r="F31" s="102" t="s">
        <v>322</v>
      </c>
      <c r="G31" s="102" t="s">
        <v>324</v>
      </c>
      <c r="H31" s="102" t="s">
        <v>329</v>
      </c>
      <c r="I31" s="13" t="s">
        <v>4</v>
      </c>
      <c r="J31" s="13" t="s">
        <v>3</v>
      </c>
      <c r="K31" s="134" t="s">
        <v>315</v>
      </c>
      <c r="L31" s="13" t="s">
        <v>318</v>
      </c>
      <c r="M31" s="102" t="s">
        <v>339</v>
      </c>
      <c r="N31" s="102" t="s">
        <v>340</v>
      </c>
      <c r="O31" s="102" t="s">
        <v>341</v>
      </c>
      <c r="P31" s="13" t="s">
        <v>3</v>
      </c>
      <c r="Q31" s="13" t="s">
        <v>337</v>
      </c>
      <c r="R31" s="13" t="s">
        <v>338</v>
      </c>
      <c r="S31" s="102" t="s">
        <v>322</v>
      </c>
      <c r="T31" s="102" t="s">
        <v>324</v>
      </c>
      <c r="U31" s="102" t="s">
        <v>329</v>
      </c>
      <c r="V31" s="13" t="s">
        <v>4</v>
      </c>
      <c r="W31" s="13" t="s">
        <v>3</v>
      </c>
      <c r="X31" s="134" t="s">
        <v>315</v>
      </c>
      <c r="Y31" s="13" t="s">
        <v>318</v>
      </c>
      <c r="Z31" s="102" t="s">
        <v>339</v>
      </c>
      <c r="AA31" s="102" t="s">
        <v>340</v>
      </c>
      <c r="AB31" s="102" t="s">
        <v>341</v>
      </c>
      <c r="AC31" s="13" t="s">
        <v>3</v>
      </c>
      <c r="AE31" s="136">
        <v>46386</v>
      </c>
      <c r="AF31" s="22" t="s">
        <v>10</v>
      </c>
      <c r="AG31" s="22"/>
      <c r="AI31">
        <v>1950</v>
      </c>
      <c r="AJ31" t="s">
        <v>155</v>
      </c>
    </row>
    <row r="32" spans="1:36">
      <c r="B32">
        <v>1758</v>
      </c>
      <c r="C32" t="s">
        <v>371</v>
      </c>
      <c r="D32" s="102" t="s">
        <v>329</v>
      </c>
      <c r="E32" s="13" t="s">
        <v>4</v>
      </c>
      <c r="F32" s="13" t="s">
        <v>3</v>
      </c>
      <c r="G32" s="102" t="s">
        <v>315</v>
      </c>
      <c r="H32" s="13" t="s">
        <v>318</v>
      </c>
      <c r="I32" s="102" t="s">
        <v>339</v>
      </c>
      <c r="J32" s="102" t="s">
        <v>340</v>
      </c>
      <c r="K32" s="134" t="s">
        <v>341</v>
      </c>
      <c r="L32" s="13" t="s">
        <v>3</v>
      </c>
      <c r="M32" s="13" t="s">
        <v>337</v>
      </c>
      <c r="N32" s="13" t="s">
        <v>338</v>
      </c>
      <c r="O32" s="102" t="s">
        <v>322</v>
      </c>
      <c r="P32" s="102" t="s">
        <v>324</v>
      </c>
      <c r="Q32" s="102" t="s">
        <v>329</v>
      </c>
      <c r="R32" s="13" t="s">
        <v>4</v>
      </c>
      <c r="S32" s="13" t="s">
        <v>3</v>
      </c>
      <c r="T32" s="102" t="s">
        <v>315</v>
      </c>
      <c r="U32" s="13" t="s">
        <v>318</v>
      </c>
      <c r="V32" s="102" t="s">
        <v>339</v>
      </c>
      <c r="W32" s="102" t="s">
        <v>340</v>
      </c>
      <c r="X32" s="134" t="s">
        <v>341</v>
      </c>
      <c r="Y32" s="13" t="s">
        <v>3</v>
      </c>
      <c r="Z32" s="13" t="s">
        <v>337</v>
      </c>
      <c r="AA32" s="13" t="s">
        <v>338</v>
      </c>
      <c r="AB32" s="102" t="s">
        <v>322</v>
      </c>
      <c r="AC32" s="102" t="s">
        <v>324</v>
      </c>
      <c r="AE32" s="136">
        <v>46387</v>
      </c>
      <c r="AF32" s="22" t="s">
        <v>13</v>
      </c>
      <c r="AG32" s="22"/>
    </row>
    <row r="33" spans="2:36">
      <c r="B33" s="8">
        <v>1966</v>
      </c>
      <c r="C33" s="9" t="s">
        <v>210</v>
      </c>
      <c r="D33" s="102" t="s">
        <v>341</v>
      </c>
      <c r="E33" s="13" t="s">
        <v>3</v>
      </c>
      <c r="F33" s="13" t="s">
        <v>337</v>
      </c>
      <c r="G33" s="13" t="s">
        <v>338</v>
      </c>
      <c r="H33" s="102" t="s">
        <v>322</v>
      </c>
      <c r="I33" s="102" t="s">
        <v>324</v>
      </c>
      <c r="J33" s="102" t="s">
        <v>329</v>
      </c>
      <c r="K33" s="133" t="s">
        <v>4</v>
      </c>
      <c r="L33" s="13" t="s">
        <v>3</v>
      </c>
      <c r="M33" s="102" t="s">
        <v>315</v>
      </c>
      <c r="N33" s="13" t="s">
        <v>318</v>
      </c>
      <c r="O33" s="102" t="s">
        <v>339</v>
      </c>
      <c r="P33" s="102" t="s">
        <v>340</v>
      </c>
      <c r="Q33" s="102" t="s">
        <v>341</v>
      </c>
      <c r="R33" s="13" t="s">
        <v>3</v>
      </c>
      <c r="S33" s="13" t="s">
        <v>337</v>
      </c>
      <c r="T33" s="13" t="s">
        <v>338</v>
      </c>
      <c r="U33" s="102" t="s">
        <v>322</v>
      </c>
      <c r="V33" s="102" t="s">
        <v>324</v>
      </c>
      <c r="W33" s="102" t="s">
        <v>329</v>
      </c>
      <c r="X33" s="133" t="s">
        <v>4</v>
      </c>
      <c r="Y33" s="13" t="s">
        <v>3</v>
      </c>
      <c r="Z33" s="102" t="s">
        <v>315</v>
      </c>
      <c r="AA33" s="13" t="s">
        <v>318</v>
      </c>
      <c r="AB33" s="102" t="s">
        <v>339</v>
      </c>
      <c r="AC33" s="102" t="s">
        <v>340</v>
      </c>
      <c r="AE33" s="21"/>
      <c r="AF33" s="22"/>
      <c r="AG33" s="22"/>
      <c r="AI33">
        <v>2066</v>
      </c>
      <c r="AJ33" t="s">
        <v>588</v>
      </c>
    </row>
    <row r="34" spans="2:36">
      <c r="B34" s="8">
        <v>1996</v>
      </c>
      <c r="C34" s="9" t="s">
        <v>215</v>
      </c>
      <c r="D34" s="13" t="s">
        <v>3</v>
      </c>
      <c r="E34" s="102" t="s">
        <v>315</v>
      </c>
      <c r="F34" s="13" t="s">
        <v>318</v>
      </c>
      <c r="G34" s="102" t="s">
        <v>339</v>
      </c>
      <c r="H34" s="102" t="s">
        <v>340</v>
      </c>
      <c r="I34" s="102" t="s">
        <v>341</v>
      </c>
      <c r="J34" s="13" t="s">
        <v>3</v>
      </c>
      <c r="K34" s="133" t="s">
        <v>337</v>
      </c>
      <c r="L34" s="13" t="s">
        <v>338</v>
      </c>
      <c r="M34" s="102" t="s">
        <v>322</v>
      </c>
      <c r="N34" s="102" t="s">
        <v>324</v>
      </c>
      <c r="O34" s="102" t="s">
        <v>329</v>
      </c>
      <c r="P34" s="13" t="s">
        <v>4</v>
      </c>
      <c r="Q34" s="13" t="s">
        <v>3</v>
      </c>
      <c r="R34" s="134" t="s">
        <v>315</v>
      </c>
      <c r="S34" s="13" t="s">
        <v>318</v>
      </c>
      <c r="T34" s="102" t="s">
        <v>339</v>
      </c>
      <c r="U34" s="102" t="s">
        <v>340</v>
      </c>
      <c r="V34" s="102" t="s">
        <v>341</v>
      </c>
      <c r="W34" s="13" t="s">
        <v>3</v>
      </c>
      <c r="X34" s="133" t="s">
        <v>337</v>
      </c>
      <c r="Y34" s="13" t="s">
        <v>338</v>
      </c>
      <c r="Z34" s="102" t="s">
        <v>322</v>
      </c>
      <c r="AA34" s="102" t="s">
        <v>324</v>
      </c>
      <c r="AB34" s="102" t="s">
        <v>329</v>
      </c>
      <c r="AC34" s="13" t="s">
        <v>4</v>
      </c>
      <c r="AE34" s="21"/>
      <c r="AF34" s="22"/>
      <c r="AG34" s="22"/>
      <c r="AI34">
        <v>1887</v>
      </c>
      <c r="AJ34" t="s">
        <v>589</v>
      </c>
    </row>
    <row r="35" spans="2:36">
      <c r="B35" s="10">
        <v>1994</v>
      </c>
      <c r="C35" s="11" t="s">
        <v>180</v>
      </c>
      <c r="D35" s="102" t="s">
        <v>655</v>
      </c>
      <c r="E35" s="102" t="s">
        <v>654</v>
      </c>
      <c r="F35" s="13" t="s">
        <v>653</v>
      </c>
      <c r="G35" s="13" t="s">
        <v>652</v>
      </c>
      <c r="H35" s="102" t="s">
        <v>643</v>
      </c>
      <c r="I35" s="13" t="s">
        <v>4</v>
      </c>
      <c r="J35" s="13" t="s">
        <v>3</v>
      </c>
      <c r="K35" s="134" t="s">
        <v>660</v>
      </c>
      <c r="L35" s="102" t="s">
        <v>659</v>
      </c>
      <c r="M35" s="13" t="s">
        <v>658</v>
      </c>
      <c r="N35" s="13" t="s">
        <v>657</v>
      </c>
      <c r="O35" s="13" t="s">
        <v>656</v>
      </c>
      <c r="P35" s="13" t="s">
        <v>3</v>
      </c>
      <c r="Q35" s="102" t="s">
        <v>655</v>
      </c>
      <c r="R35" s="102" t="s">
        <v>654</v>
      </c>
      <c r="S35" s="13" t="s">
        <v>653</v>
      </c>
      <c r="T35" s="13" t="s">
        <v>652</v>
      </c>
      <c r="U35" s="102" t="s">
        <v>643</v>
      </c>
      <c r="V35" s="13" t="s">
        <v>4</v>
      </c>
      <c r="W35" s="13" t="s">
        <v>3</v>
      </c>
      <c r="X35" s="134" t="s">
        <v>660</v>
      </c>
      <c r="Y35" s="102" t="s">
        <v>659</v>
      </c>
      <c r="Z35" s="13" t="s">
        <v>658</v>
      </c>
      <c r="AA35" s="13" t="s">
        <v>657</v>
      </c>
      <c r="AB35" s="13" t="s">
        <v>656</v>
      </c>
      <c r="AC35" s="13" t="s">
        <v>3</v>
      </c>
      <c r="AE35" s="21"/>
      <c r="AF35" s="22"/>
      <c r="AG35" s="22"/>
    </row>
    <row r="36" spans="2:36">
      <c r="B36" s="10">
        <v>2052</v>
      </c>
      <c r="C36" s="11" t="s">
        <v>207</v>
      </c>
      <c r="D36" s="13" t="s">
        <v>4</v>
      </c>
      <c r="E36" s="104" t="s">
        <v>3</v>
      </c>
      <c r="F36" s="134" t="s">
        <v>359</v>
      </c>
      <c r="G36" s="104" t="s">
        <v>360</v>
      </c>
      <c r="H36" s="102" t="s">
        <v>298</v>
      </c>
      <c r="I36" s="102" t="s">
        <v>300</v>
      </c>
      <c r="J36" s="102" t="s">
        <v>301</v>
      </c>
      <c r="K36" s="13" t="s">
        <v>3</v>
      </c>
      <c r="L36" s="13" t="s">
        <v>354</v>
      </c>
      <c r="M36" s="13" t="s">
        <v>355</v>
      </c>
      <c r="N36" s="102" t="s">
        <v>356</v>
      </c>
      <c r="O36" s="102" t="s">
        <v>357</v>
      </c>
      <c r="P36" s="102" t="s">
        <v>358</v>
      </c>
      <c r="Q36" s="13" t="s">
        <v>4</v>
      </c>
      <c r="R36" s="13" t="s">
        <v>3</v>
      </c>
      <c r="S36" s="139" t="str">
        <f ca="1">IF(OR($D$61=DATEVALUE("2025/4/2"),$D$62=DATEVALUE("2025/4/2"),$D$63=DATEVALUE("2025/4/2"),$D$64=DATEVALUE("2025/4/2"),$D$65=DATEVALUE("2025/4/2"),$D$66=DATEVALUE("2025/4/2"),$D$67=DATEVALUE("2025/4/2")),"増休","７-１                      ")</f>
        <v xml:space="preserve">７-１                      </v>
      </c>
      <c r="T36" s="139" t="str">
        <f ca="1">IF(OR($D$61=DATEVALUE("2025/4/3"),$D$62=DATEVALUE("2025/4/3"),$D$63=DATEVALUE("2025/4/3"),$D$64=DATEVALUE("2025/4/3"),$D$65=DATEVALUE("2025/4/3"),$D$66=DATEVALUE("2025/4/3"),$D$67=DATEVALUE("2025/4/3")),"公休","７-２                      ")</f>
        <v xml:space="preserve">７-２                      </v>
      </c>
      <c r="U36" s="102" t="s">
        <v>298</v>
      </c>
      <c r="V36" s="102" t="s">
        <v>300</v>
      </c>
      <c r="W36" s="102" t="s">
        <v>301</v>
      </c>
      <c r="X36" s="13" t="s">
        <v>3</v>
      </c>
      <c r="Y36" s="13" t="s">
        <v>354</v>
      </c>
      <c r="Z36" s="13" t="s">
        <v>355</v>
      </c>
      <c r="AA36" s="102" t="s">
        <v>356</v>
      </c>
      <c r="AB36" s="102" t="s">
        <v>357</v>
      </c>
      <c r="AC36" s="102" t="s">
        <v>358</v>
      </c>
      <c r="AE36" s="21"/>
      <c r="AF36" s="22"/>
      <c r="AG36" s="22"/>
    </row>
    <row r="37" spans="2:36">
      <c r="B37" s="10">
        <v>1944</v>
      </c>
      <c r="C37" s="11" t="s">
        <v>406</v>
      </c>
      <c r="D37" s="13" t="s">
        <v>658</v>
      </c>
      <c r="E37" s="13" t="s">
        <v>657</v>
      </c>
      <c r="F37" s="13" t="s">
        <v>656</v>
      </c>
      <c r="G37" s="13" t="s">
        <v>3</v>
      </c>
      <c r="H37" s="102" t="s">
        <v>655</v>
      </c>
      <c r="I37" s="102" t="s">
        <v>654</v>
      </c>
      <c r="J37" s="13" t="s">
        <v>653</v>
      </c>
      <c r="K37" s="13" t="s">
        <v>652</v>
      </c>
      <c r="L37" s="102" t="s">
        <v>643</v>
      </c>
      <c r="M37" s="13" t="s">
        <v>4</v>
      </c>
      <c r="N37" s="13" t="s">
        <v>3</v>
      </c>
      <c r="O37" s="134" t="s">
        <v>660</v>
      </c>
      <c r="P37" s="102" t="s">
        <v>659</v>
      </c>
      <c r="Q37" s="13" t="s">
        <v>658</v>
      </c>
      <c r="R37" s="13" t="s">
        <v>657</v>
      </c>
      <c r="S37" s="13" t="s">
        <v>656</v>
      </c>
      <c r="T37" s="13" t="s">
        <v>3</v>
      </c>
      <c r="U37" s="102" t="s">
        <v>655</v>
      </c>
      <c r="V37" s="102" t="s">
        <v>654</v>
      </c>
      <c r="W37" s="13" t="s">
        <v>653</v>
      </c>
      <c r="X37" s="13" t="s">
        <v>652</v>
      </c>
      <c r="Y37" s="102" t="s">
        <v>643</v>
      </c>
      <c r="Z37" s="13" t="s">
        <v>4</v>
      </c>
      <c r="AA37" s="13" t="s">
        <v>3</v>
      </c>
      <c r="AB37" s="134" t="s">
        <v>660</v>
      </c>
      <c r="AC37" s="102" t="s">
        <v>659</v>
      </c>
      <c r="AE37" s="21"/>
      <c r="AF37" s="22"/>
      <c r="AG37" s="22"/>
    </row>
    <row r="38" spans="2:36">
      <c r="B38" s="8">
        <v>2112</v>
      </c>
      <c r="C38" s="9" t="s">
        <v>433</v>
      </c>
      <c r="D38" s="102" t="s">
        <v>652</v>
      </c>
      <c r="E38" s="102" t="s">
        <v>651</v>
      </c>
      <c r="F38" s="13" t="s">
        <v>4</v>
      </c>
      <c r="G38" s="104" t="s">
        <v>3</v>
      </c>
      <c r="H38" s="134" t="s">
        <v>660</v>
      </c>
      <c r="I38" s="102" t="s">
        <v>659</v>
      </c>
      <c r="J38" s="13" t="s">
        <v>658</v>
      </c>
      <c r="K38" s="13" t="s">
        <v>657</v>
      </c>
      <c r="L38" s="13" t="s">
        <v>656</v>
      </c>
      <c r="M38" s="13" t="s">
        <v>3</v>
      </c>
      <c r="N38" s="102" t="s">
        <v>655</v>
      </c>
      <c r="O38" s="102" t="s">
        <v>654</v>
      </c>
      <c r="P38" s="13" t="s">
        <v>653</v>
      </c>
      <c r="Q38" s="13" t="s">
        <v>652</v>
      </c>
      <c r="R38" s="102" t="s">
        <v>651</v>
      </c>
      <c r="S38" s="13" t="s">
        <v>4</v>
      </c>
      <c r="T38" s="104" t="s">
        <v>3</v>
      </c>
      <c r="U38" s="134" t="s">
        <v>660</v>
      </c>
      <c r="V38" s="102" t="s">
        <v>659</v>
      </c>
      <c r="W38" s="13" t="s">
        <v>658</v>
      </c>
      <c r="X38" s="13" t="s">
        <v>657</v>
      </c>
      <c r="Y38" s="13" t="s">
        <v>656</v>
      </c>
      <c r="Z38" s="13" t="s">
        <v>3</v>
      </c>
      <c r="AA38" s="102" t="s">
        <v>655</v>
      </c>
      <c r="AB38" s="102" t="s">
        <v>654</v>
      </c>
      <c r="AC38" s="13" t="s">
        <v>653</v>
      </c>
      <c r="AE38" s="21"/>
      <c r="AF38" s="22"/>
      <c r="AG38" s="22"/>
    </row>
    <row r="39" spans="2:36">
      <c r="B39" s="10">
        <v>2095</v>
      </c>
      <c r="C39" s="11" t="s">
        <v>438</v>
      </c>
      <c r="D39" s="13" t="s">
        <v>4</v>
      </c>
      <c r="E39" s="13" t="s">
        <v>3</v>
      </c>
      <c r="F39" s="13" t="s">
        <v>226</v>
      </c>
      <c r="G39" s="13" t="s">
        <v>219</v>
      </c>
      <c r="H39" s="13" t="s">
        <v>230</v>
      </c>
      <c r="I39" s="13" t="s">
        <v>222</v>
      </c>
      <c r="J39" s="13" t="s">
        <v>223</v>
      </c>
      <c r="K39" s="13" t="s">
        <v>3</v>
      </c>
      <c r="L39" s="13" t="s">
        <v>231</v>
      </c>
      <c r="M39" s="133" t="s">
        <v>367</v>
      </c>
      <c r="N39" s="13" t="s">
        <v>235</v>
      </c>
      <c r="O39" s="13" t="s">
        <v>224</v>
      </c>
      <c r="P39" s="102" t="s">
        <v>650</v>
      </c>
      <c r="Q39" s="13" t="s">
        <v>4</v>
      </c>
      <c r="R39" s="13" t="s">
        <v>3</v>
      </c>
      <c r="S39" s="13" t="s">
        <v>226</v>
      </c>
      <c r="T39" s="13" t="s">
        <v>219</v>
      </c>
      <c r="U39" s="13" t="s">
        <v>230</v>
      </c>
      <c r="V39" s="13" t="s">
        <v>222</v>
      </c>
      <c r="W39" s="13" t="s">
        <v>223</v>
      </c>
      <c r="X39" s="13" t="s">
        <v>3</v>
      </c>
      <c r="Y39" s="13" t="s">
        <v>231</v>
      </c>
      <c r="Z39" s="133" t="s">
        <v>367</v>
      </c>
      <c r="AA39" s="13" t="s">
        <v>235</v>
      </c>
      <c r="AB39" s="13" t="s">
        <v>224</v>
      </c>
      <c r="AC39" s="102" t="s">
        <v>650</v>
      </c>
      <c r="AE39" s="21"/>
      <c r="AF39" s="22"/>
      <c r="AG39" s="22"/>
    </row>
    <row r="40" spans="2:36">
      <c r="B40" s="10">
        <v>1972</v>
      </c>
      <c r="C40" s="11" t="s">
        <v>439</v>
      </c>
      <c r="D40" s="102" t="s">
        <v>358</v>
      </c>
      <c r="E40" s="13" t="s">
        <v>4</v>
      </c>
      <c r="F40" s="104" t="s">
        <v>3</v>
      </c>
      <c r="G40" s="102" t="s">
        <v>359</v>
      </c>
      <c r="H40" s="104" t="s">
        <v>360</v>
      </c>
      <c r="I40" s="134" t="s">
        <v>298</v>
      </c>
      <c r="J40" s="102" t="s">
        <v>300</v>
      </c>
      <c r="K40" s="102" t="s">
        <v>301</v>
      </c>
      <c r="L40" s="13" t="s">
        <v>3</v>
      </c>
      <c r="M40" s="13" t="s">
        <v>354</v>
      </c>
      <c r="N40" s="13" t="s">
        <v>355</v>
      </c>
      <c r="O40" s="102" t="s">
        <v>356</v>
      </c>
      <c r="P40" s="102" t="s">
        <v>357</v>
      </c>
      <c r="Q40" s="102" t="s">
        <v>358</v>
      </c>
      <c r="R40" s="13" t="s">
        <v>4</v>
      </c>
      <c r="S40" s="104" t="s">
        <v>3</v>
      </c>
      <c r="T40" s="102" t="s">
        <v>359</v>
      </c>
      <c r="U40" s="104" t="s">
        <v>360</v>
      </c>
      <c r="V40" s="134" t="s">
        <v>298</v>
      </c>
      <c r="W40" s="102" t="s">
        <v>300</v>
      </c>
      <c r="X40" s="102" t="s">
        <v>301</v>
      </c>
      <c r="Y40" s="13" t="s">
        <v>3</v>
      </c>
      <c r="Z40" s="13" t="s">
        <v>354</v>
      </c>
      <c r="AA40" s="13" t="s">
        <v>355</v>
      </c>
      <c r="AB40" s="102" t="s">
        <v>356</v>
      </c>
      <c r="AC40" s="102" t="s">
        <v>357</v>
      </c>
      <c r="AE40" s="21"/>
      <c r="AF40" s="22"/>
      <c r="AG40" s="22"/>
    </row>
    <row r="41" spans="2:36">
      <c r="B41" s="8">
        <v>1826</v>
      </c>
      <c r="C41" s="9" t="s">
        <v>201</v>
      </c>
      <c r="D41" s="13" t="s">
        <v>3</v>
      </c>
      <c r="E41" s="47" t="s">
        <v>408</v>
      </c>
      <c r="F41" s="47" t="s">
        <v>382</v>
      </c>
      <c r="G41" s="47" t="s">
        <v>381</v>
      </c>
      <c r="H41" s="47" t="s">
        <v>380</v>
      </c>
      <c r="I41" s="47" t="s">
        <v>379</v>
      </c>
      <c r="J41" s="13" t="s">
        <v>4</v>
      </c>
      <c r="K41" s="133" t="s">
        <v>3</v>
      </c>
      <c r="L41" s="47" t="s">
        <v>408</v>
      </c>
      <c r="M41" s="47" t="s">
        <v>382</v>
      </c>
      <c r="N41" s="47" t="s">
        <v>381</v>
      </c>
      <c r="O41" s="47" t="s">
        <v>380</v>
      </c>
      <c r="P41" s="47" t="s">
        <v>379</v>
      </c>
      <c r="Q41" s="13" t="s">
        <v>3</v>
      </c>
      <c r="R41" s="47" t="s">
        <v>408</v>
      </c>
      <c r="S41" s="47" t="s">
        <v>382</v>
      </c>
      <c r="T41" s="47" t="s">
        <v>381</v>
      </c>
      <c r="U41" s="47" t="s">
        <v>380</v>
      </c>
      <c r="V41" s="47" t="s">
        <v>379</v>
      </c>
      <c r="W41" s="13" t="s">
        <v>4</v>
      </c>
      <c r="X41" s="133" t="s">
        <v>3</v>
      </c>
      <c r="Y41" s="47" t="s">
        <v>408</v>
      </c>
      <c r="Z41" s="47" t="s">
        <v>382</v>
      </c>
      <c r="AA41" s="47" t="s">
        <v>381</v>
      </c>
      <c r="AB41" s="47" t="s">
        <v>380</v>
      </c>
      <c r="AC41" s="47" t="s">
        <v>379</v>
      </c>
      <c r="AE41" s="21"/>
      <c r="AF41" s="22"/>
      <c r="AG41" s="22"/>
    </row>
    <row r="42" spans="2:36">
      <c r="B42" s="10">
        <v>2126</v>
      </c>
      <c r="C42" t="s">
        <v>186</v>
      </c>
      <c r="D42" s="13" t="s">
        <v>231</v>
      </c>
      <c r="E42" s="13" t="s">
        <v>367</v>
      </c>
      <c r="F42" s="13" t="s">
        <v>235</v>
      </c>
      <c r="G42" s="13" t="s">
        <v>224</v>
      </c>
      <c r="H42" s="102" t="s">
        <v>650</v>
      </c>
      <c r="I42" s="13" t="s">
        <v>4</v>
      </c>
      <c r="J42" s="13" t="s">
        <v>3</v>
      </c>
      <c r="K42" s="133" t="s">
        <v>226</v>
      </c>
      <c r="L42" s="13" t="s">
        <v>219</v>
      </c>
      <c r="M42" s="13" t="s">
        <v>230</v>
      </c>
      <c r="N42" s="13" t="s">
        <v>222</v>
      </c>
      <c r="O42" s="13" t="s">
        <v>365</v>
      </c>
      <c r="P42" s="13" t="s">
        <v>3</v>
      </c>
      <c r="Q42" s="13" t="s">
        <v>231</v>
      </c>
      <c r="R42" s="133" t="s">
        <v>367</v>
      </c>
      <c r="S42" s="13" t="s">
        <v>235</v>
      </c>
      <c r="T42" s="13" t="s">
        <v>224</v>
      </c>
      <c r="U42" s="102" t="s">
        <v>650</v>
      </c>
      <c r="V42" s="13" t="s">
        <v>4</v>
      </c>
      <c r="W42" s="13" t="s">
        <v>3</v>
      </c>
      <c r="X42" s="133" t="s">
        <v>226</v>
      </c>
      <c r="Y42" s="13" t="s">
        <v>219</v>
      </c>
      <c r="Z42" s="13" t="s">
        <v>230</v>
      </c>
      <c r="AA42" s="13" t="s">
        <v>222</v>
      </c>
      <c r="AB42" s="13" t="s">
        <v>365</v>
      </c>
      <c r="AC42" s="13" t="s">
        <v>3</v>
      </c>
      <c r="AE42" s="21"/>
      <c r="AF42" s="22"/>
      <c r="AG42" s="22"/>
    </row>
    <row r="43" spans="2:36">
      <c r="B43" s="10">
        <v>2114</v>
      </c>
      <c r="C43" s="11" t="s">
        <v>641</v>
      </c>
      <c r="D43" s="13" t="s">
        <v>3</v>
      </c>
      <c r="E43" s="13" t="s">
        <v>337</v>
      </c>
      <c r="F43" s="13" t="s">
        <v>338</v>
      </c>
      <c r="G43" s="102" t="s">
        <v>322</v>
      </c>
      <c r="H43" s="102" t="s">
        <v>324</v>
      </c>
      <c r="I43" s="102" t="s">
        <v>329</v>
      </c>
      <c r="J43" s="133" t="s">
        <v>4</v>
      </c>
      <c r="K43" s="13" t="s">
        <v>3</v>
      </c>
      <c r="L43" s="102" t="s">
        <v>315</v>
      </c>
      <c r="M43" s="13" t="s">
        <v>318</v>
      </c>
      <c r="N43" s="102" t="s">
        <v>339</v>
      </c>
      <c r="O43" s="102" t="s">
        <v>340</v>
      </c>
      <c r="P43" s="102" t="s">
        <v>341</v>
      </c>
      <c r="Q43" s="13" t="s">
        <v>3</v>
      </c>
      <c r="R43" s="13" t="s">
        <v>337</v>
      </c>
      <c r="S43" s="13" t="s">
        <v>338</v>
      </c>
      <c r="T43" s="102" t="s">
        <v>322</v>
      </c>
      <c r="U43" s="102" t="s">
        <v>324</v>
      </c>
      <c r="V43" s="102" t="s">
        <v>329</v>
      </c>
      <c r="W43" s="133" t="s">
        <v>4</v>
      </c>
      <c r="X43" s="13" t="s">
        <v>3</v>
      </c>
      <c r="Y43" s="102" t="s">
        <v>315</v>
      </c>
      <c r="Z43" s="13" t="s">
        <v>318</v>
      </c>
      <c r="AA43" s="102" t="s">
        <v>339</v>
      </c>
      <c r="AB43" s="102" t="s">
        <v>340</v>
      </c>
      <c r="AC43" s="102" t="s">
        <v>341</v>
      </c>
      <c r="AE43" s="21"/>
      <c r="AF43" s="22"/>
      <c r="AG43" s="22"/>
    </row>
    <row r="44" spans="2:36">
      <c r="B44" s="8">
        <v>2118</v>
      </c>
      <c r="C44" s="9" t="s">
        <v>538</v>
      </c>
      <c r="D44" s="13" t="s">
        <v>224</v>
      </c>
      <c r="E44" s="102" t="s">
        <v>650</v>
      </c>
      <c r="F44" s="13" t="s">
        <v>4</v>
      </c>
      <c r="G44" s="13" t="s">
        <v>3</v>
      </c>
      <c r="H44" s="133" t="s">
        <v>226</v>
      </c>
      <c r="I44" s="13" t="s">
        <v>219</v>
      </c>
      <c r="J44" s="13" t="s">
        <v>230</v>
      </c>
      <c r="K44" s="13" t="s">
        <v>222</v>
      </c>
      <c r="L44" s="13" t="s">
        <v>365</v>
      </c>
      <c r="M44" s="13" t="s">
        <v>3</v>
      </c>
      <c r="N44" s="13" t="s">
        <v>231</v>
      </c>
      <c r="O44" s="13" t="s">
        <v>367</v>
      </c>
      <c r="P44" s="13" t="s">
        <v>235</v>
      </c>
      <c r="Q44" s="13" t="s">
        <v>224</v>
      </c>
      <c r="R44" s="102" t="s">
        <v>650</v>
      </c>
      <c r="S44" s="13" t="s">
        <v>4</v>
      </c>
      <c r="T44" s="13" t="s">
        <v>3</v>
      </c>
      <c r="U44" s="133" t="s">
        <v>226</v>
      </c>
      <c r="V44" s="13" t="s">
        <v>219</v>
      </c>
      <c r="W44" s="13" t="s">
        <v>230</v>
      </c>
      <c r="X44" s="13" t="s">
        <v>222</v>
      </c>
      <c r="Y44" s="13" t="s">
        <v>365</v>
      </c>
      <c r="Z44" s="13" t="s">
        <v>3</v>
      </c>
      <c r="AA44" s="13" t="s">
        <v>231</v>
      </c>
      <c r="AB44" s="13" t="s">
        <v>367</v>
      </c>
      <c r="AC44" s="13" t="s">
        <v>235</v>
      </c>
      <c r="AE44" s="21"/>
      <c r="AF44" s="22"/>
      <c r="AG44" s="22"/>
    </row>
    <row r="45" spans="2:36">
      <c r="B45" s="146">
        <v>2066</v>
      </c>
      <c r="C45" t="s">
        <v>588</v>
      </c>
      <c r="D45" s="13" t="s">
        <v>338</v>
      </c>
      <c r="E45" s="102" t="s">
        <v>322</v>
      </c>
      <c r="F45" s="102" t="s">
        <v>324</v>
      </c>
      <c r="G45" s="102" t="s">
        <v>329</v>
      </c>
      <c r="H45" s="13" t="s">
        <v>4</v>
      </c>
      <c r="I45" s="13" t="s">
        <v>3</v>
      </c>
      <c r="J45" s="102" t="s">
        <v>315</v>
      </c>
      <c r="K45" s="13" t="s">
        <v>318</v>
      </c>
      <c r="L45" s="102" t="s">
        <v>339</v>
      </c>
      <c r="M45" s="102" t="s">
        <v>340</v>
      </c>
      <c r="N45" s="134" t="s">
        <v>341</v>
      </c>
      <c r="O45" s="13" t="s">
        <v>3</v>
      </c>
      <c r="P45" s="13" t="s">
        <v>337</v>
      </c>
      <c r="Q45" s="13" t="s">
        <v>338</v>
      </c>
      <c r="R45" s="102" t="s">
        <v>322</v>
      </c>
      <c r="S45" s="102" t="s">
        <v>324</v>
      </c>
      <c r="T45" s="102" t="s">
        <v>329</v>
      </c>
      <c r="U45" s="13" t="s">
        <v>4</v>
      </c>
      <c r="V45" s="13" t="s">
        <v>3</v>
      </c>
      <c r="W45" s="102" t="s">
        <v>315</v>
      </c>
      <c r="X45" s="13" t="s">
        <v>318</v>
      </c>
      <c r="Y45" s="102" t="s">
        <v>339</v>
      </c>
      <c r="Z45" s="102" t="s">
        <v>340</v>
      </c>
      <c r="AA45" s="134" t="s">
        <v>341</v>
      </c>
      <c r="AB45" s="13" t="s">
        <v>3</v>
      </c>
      <c r="AC45" s="13" t="s">
        <v>337</v>
      </c>
      <c r="AE45" s="21"/>
      <c r="AF45" s="22"/>
      <c r="AG45" s="22"/>
    </row>
    <row r="46" spans="2:36">
      <c r="B46" s="10">
        <v>2087</v>
      </c>
      <c r="C46" s="11" t="s">
        <v>600</v>
      </c>
      <c r="D46" s="13" t="s">
        <v>318</v>
      </c>
      <c r="E46" s="102" t="s">
        <v>339</v>
      </c>
      <c r="F46" s="102" t="s">
        <v>340</v>
      </c>
      <c r="G46" s="134" t="s">
        <v>341</v>
      </c>
      <c r="H46" s="13" t="s">
        <v>3</v>
      </c>
      <c r="I46" s="13" t="s">
        <v>337</v>
      </c>
      <c r="J46" s="13" t="s">
        <v>338</v>
      </c>
      <c r="K46" s="102" t="s">
        <v>322</v>
      </c>
      <c r="L46" s="102" t="s">
        <v>324</v>
      </c>
      <c r="M46" s="102" t="s">
        <v>329</v>
      </c>
      <c r="N46" s="13" t="s">
        <v>4</v>
      </c>
      <c r="O46" s="13" t="s">
        <v>3</v>
      </c>
      <c r="P46" s="102" t="s">
        <v>315</v>
      </c>
      <c r="Q46" s="13" t="s">
        <v>318</v>
      </c>
      <c r="R46" s="102" t="s">
        <v>339</v>
      </c>
      <c r="S46" s="102" t="s">
        <v>340</v>
      </c>
      <c r="T46" s="134" t="s">
        <v>341</v>
      </c>
      <c r="U46" s="13" t="s">
        <v>3</v>
      </c>
      <c r="V46" s="13" t="s">
        <v>337</v>
      </c>
      <c r="W46" s="13" t="s">
        <v>338</v>
      </c>
      <c r="X46" s="102" t="s">
        <v>322</v>
      </c>
      <c r="Y46" s="102" t="s">
        <v>324</v>
      </c>
      <c r="Z46" s="102" t="s">
        <v>329</v>
      </c>
      <c r="AA46" s="13" t="s">
        <v>4</v>
      </c>
      <c r="AB46" s="13" t="s">
        <v>3</v>
      </c>
      <c r="AC46" s="102" t="s">
        <v>315</v>
      </c>
    </row>
    <row r="47" spans="2:36">
      <c r="B47" s="10">
        <v>2135</v>
      </c>
      <c r="C47" s="11" t="s">
        <v>679</v>
      </c>
      <c r="D47" s="13" t="s">
        <v>4</v>
      </c>
      <c r="E47" s="13" t="s">
        <v>3</v>
      </c>
      <c r="F47" s="134" t="s">
        <v>660</v>
      </c>
      <c r="G47" s="102" t="s">
        <v>659</v>
      </c>
      <c r="H47" s="13" t="s">
        <v>658</v>
      </c>
      <c r="I47" s="13" t="s">
        <v>657</v>
      </c>
      <c r="J47" s="13" t="s">
        <v>656</v>
      </c>
      <c r="K47" s="13" t="s">
        <v>3</v>
      </c>
      <c r="L47" s="102" t="s">
        <v>655</v>
      </c>
      <c r="M47" s="102" t="s">
        <v>654</v>
      </c>
      <c r="N47" s="13" t="s">
        <v>653</v>
      </c>
      <c r="O47" s="13" t="s">
        <v>652</v>
      </c>
      <c r="P47" s="102" t="s">
        <v>643</v>
      </c>
      <c r="Q47" s="13" t="s">
        <v>4</v>
      </c>
      <c r="R47" s="13" t="s">
        <v>3</v>
      </c>
      <c r="S47" s="134" t="s">
        <v>660</v>
      </c>
      <c r="T47" s="102" t="s">
        <v>659</v>
      </c>
      <c r="U47" s="13" t="s">
        <v>658</v>
      </c>
      <c r="V47" s="13" t="s">
        <v>657</v>
      </c>
      <c r="W47" s="13" t="s">
        <v>656</v>
      </c>
      <c r="X47" s="13" t="s">
        <v>3</v>
      </c>
      <c r="Y47" s="102" t="s">
        <v>655</v>
      </c>
      <c r="Z47" s="102" t="s">
        <v>654</v>
      </c>
      <c r="AA47" s="13" t="s">
        <v>653</v>
      </c>
      <c r="AB47" s="13" t="s">
        <v>652</v>
      </c>
      <c r="AC47" s="102" t="s">
        <v>643</v>
      </c>
      <c r="AI47">
        <v>1994</v>
      </c>
      <c r="AJ47" t="s">
        <v>180</v>
      </c>
    </row>
    <row r="48" spans="2:36">
      <c r="B48" s="8"/>
      <c r="C48" s="9"/>
      <c r="D48" s="12"/>
      <c r="E48" s="102"/>
      <c r="F48" s="12"/>
      <c r="G48" s="12"/>
      <c r="H48" s="12"/>
      <c r="I48" s="12"/>
      <c r="J48" s="12"/>
      <c r="K48" s="135"/>
      <c r="L48" s="12"/>
      <c r="M48" s="12"/>
      <c r="N48" s="12"/>
      <c r="O48" s="12"/>
      <c r="P48" s="12"/>
      <c r="Q48" s="12"/>
      <c r="R48" s="84"/>
      <c r="S48" s="24"/>
      <c r="T48" s="24"/>
      <c r="U48" s="24"/>
      <c r="V48" s="24"/>
      <c r="W48" s="24"/>
      <c r="X48" s="24"/>
      <c r="Y48" s="24"/>
      <c r="Z48" s="24"/>
      <c r="AA48" s="24"/>
      <c r="AB48" s="24"/>
      <c r="AC48" s="24"/>
      <c r="AI48">
        <v>1996</v>
      </c>
      <c r="AJ48" t="s">
        <v>181</v>
      </c>
    </row>
    <row r="49" spans="2:36">
      <c r="B49" s="10"/>
      <c r="C49" s="11"/>
      <c r="D49" s="13"/>
      <c r="E49" s="102"/>
      <c r="F49" s="13"/>
      <c r="G49" s="13"/>
      <c r="H49" s="13"/>
      <c r="I49" s="13"/>
      <c r="J49" s="13"/>
      <c r="K49" s="133"/>
      <c r="L49" s="13"/>
      <c r="M49" s="13"/>
      <c r="N49" s="13"/>
      <c r="O49" s="13"/>
      <c r="P49" s="13"/>
      <c r="Q49" s="13"/>
      <c r="R49"/>
      <c r="AI49">
        <v>2011</v>
      </c>
      <c r="AJ49" t="s">
        <v>182</v>
      </c>
    </row>
    <row r="50" spans="2:36">
      <c r="B50" s="8"/>
      <c r="C50" s="9"/>
      <c r="D50" s="12"/>
      <c r="E50" s="12"/>
      <c r="F50" s="12"/>
      <c r="G50" s="12"/>
      <c r="H50" s="12"/>
      <c r="I50" s="12"/>
      <c r="J50" s="12"/>
      <c r="K50" s="135"/>
      <c r="L50" s="12"/>
      <c r="M50" s="12"/>
      <c r="N50" s="12"/>
      <c r="O50" s="12"/>
      <c r="P50" s="12"/>
      <c r="Q50" s="12"/>
      <c r="R50" s="84"/>
      <c r="S50" s="24"/>
      <c r="T50" s="24"/>
      <c r="U50" s="24"/>
      <c r="V50" s="24"/>
      <c r="W50" s="24"/>
      <c r="X50" s="24"/>
      <c r="Y50" s="24"/>
      <c r="Z50" s="24"/>
      <c r="AA50" s="24"/>
      <c r="AB50" s="24"/>
      <c r="AC50" s="24"/>
      <c r="AI50">
        <v>2012</v>
      </c>
      <c r="AJ50" t="s">
        <v>183</v>
      </c>
    </row>
    <row r="51" spans="2:36">
      <c r="B51" s="10"/>
      <c r="C51" s="11"/>
      <c r="D51" s="13"/>
      <c r="E51" s="13"/>
      <c r="F51" s="13"/>
      <c r="G51" s="13"/>
      <c r="H51" s="13"/>
      <c r="I51" s="13"/>
      <c r="J51" s="13"/>
      <c r="K51" s="133"/>
      <c r="L51" s="13"/>
      <c r="M51" s="13"/>
      <c r="N51" s="13"/>
      <c r="O51" s="13"/>
      <c r="P51" s="13"/>
      <c r="Q51" s="13"/>
      <c r="R51"/>
      <c r="AE51" s="21"/>
      <c r="AF51" s="22"/>
      <c r="AG51" s="22"/>
      <c r="AI51">
        <v>2019</v>
      </c>
      <c r="AJ51" t="s">
        <v>184</v>
      </c>
    </row>
    <row r="52" spans="2:36">
      <c r="B52" s="8"/>
      <c r="C52" s="9"/>
      <c r="D52" s="12"/>
      <c r="E52" s="12"/>
      <c r="F52" s="12"/>
      <c r="G52" s="12"/>
      <c r="H52" s="12"/>
      <c r="I52" s="12"/>
      <c r="J52" s="12"/>
      <c r="K52" s="135"/>
      <c r="L52" s="12"/>
      <c r="M52" s="12"/>
      <c r="N52" s="12"/>
      <c r="O52" s="12"/>
      <c r="P52" s="12"/>
      <c r="Q52" s="12"/>
      <c r="R52" s="84"/>
      <c r="S52" s="24"/>
      <c r="T52" s="24"/>
      <c r="U52" s="24"/>
      <c r="V52" s="24"/>
      <c r="W52" s="24"/>
      <c r="X52" s="24"/>
      <c r="Y52" s="24"/>
      <c r="Z52" s="24"/>
      <c r="AA52" s="24"/>
      <c r="AB52" s="24"/>
      <c r="AC52" s="24"/>
      <c r="AE52" s="21"/>
      <c r="AF52" s="22"/>
      <c r="AG52" s="22"/>
    </row>
    <row r="53" spans="2:36">
      <c r="Q53" s="13"/>
      <c r="R53"/>
      <c r="AE53" s="21"/>
      <c r="AF53" s="22"/>
      <c r="AG53" s="22"/>
    </row>
    <row r="54" spans="2:36">
      <c r="B54" s="8"/>
      <c r="C54" s="9"/>
      <c r="D54" s="12"/>
      <c r="E54" s="12"/>
      <c r="F54" s="12"/>
      <c r="G54" s="12"/>
      <c r="H54" s="12"/>
      <c r="I54" s="12"/>
      <c r="J54" s="12"/>
      <c r="K54" s="135"/>
      <c r="L54" s="12"/>
      <c r="M54" s="12"/>
      <c r="N54" s="12"/>
      <c r="O54" s="12"/>
      <c r="P54" s="12"/>
      <c r="Q54" s="12"/>
      <c r="R54" s="84"/>
      <c r="S54" s="24"/>
      <c r="T54" s="24"/>
      <c r="U54" s="24"/>
      <c r="V54" s="24"/>
      <c r="W54" s="24"/>
      <c r="X54" s="24"/>
      <c r="Y54" s="24"/>
      <c r="Z54" s="24"/>
      <c r="AA54" s="24"/>
      <c r="AB54" s="24"/>
      <c r="AC54" s="24"/>
      <c r="AE54" s="21"/>
      <c r="AF54" s="22"/>
      <c r="AG54" s="22"/>
    </row>
    <row r="55" spans="2:36">
      <c r="B55" s="10"/>
      <c r="C55" s="11"/>
      <c r="D55" s="13"/>
      <c r="E55" s="13"/>
      <c r="F55" s="13"/>
      <c r="G55" s="13"/>
      <c r="H55" s="13"/>
      <c r="I55" s="13"/>
      <c r="J55" s="13"/>
      <c r="K55" s="133"/>
      <c r="L55" s="13"/>
      <c r="M55" s="13"/>
      <c r="N55" s="13"/>
      <c r="O55" s="13"/>
      <c r="P55" s="13"/>
      <c r="Q55" s="13"/>
      <c r="R55"/>
      <c r="AE55" s="21"/>
      <c r="AF55" s="22"/>
      <c r="AG55" s="22"/>
    </row>
    <row r="56" spans="2:36">
      <c r="B56" s="8"/>
      <c r="C56" s="9"/>
      <c r="D56" s="12"/>
      <c r="E56" s="12"/>
      <c r="F56" s="12"/>
      <c r="G56" s="12"/>
      <c r="H56" s="12"/>
      <c r="I56" s="12"/>
      <c r="J56" s="12"/>
      <c r="K56" s="135"/>
      <c r="L56" s="12"/>
      <c r="M56" s="12"/>
      <c r="N56" s="12"/>
      <c r="O56" s="12"/>
      <c r="P56" s="12"/>
      <c r="Q56" s="12"/>
      <c r="R56" s="84"/>
      <c r="S56" s="24"/>
      <c r="T56" s="24"/>
      <c r="U56" s="24"/>
      <c r="V56" s="24"/>
      <c r="W56" s="24"/>
      <c r="X56" s="24"/>
      <c r="Y56" s="24"/>
      <c r="Z56" s="24"/>
      <c r="AA56" s="24"/>
      <c r="AB56" s="24"/>
      <c r="AC56" s="24"/>
    </row>
    <row r="57" spans="2:36">
      <c r="B57" s="3"/>
      <c r="C57" s="4"/>
      <c r="D57" s="56"/>
      <c r="E57" s="56"/>
      <c r="F57" s="56"/>
      <c r="G57" s="56"/>
      <c r="H57" s="4"/>
      <c r="I57" s="52"/>
      <c r="J57" s="4"/>
      <c r="K57" s="52"/>
      <c r="L57" s="14"/>
      <c r="M57" s="56"/>
      <c r="N57" s="52"/>
      <c r="O57" s="52"/>
      <c r="P57" s="14"/>
      <c r="Q57" s="14"/>
      <c r="AI57">
        <v>2052</v>
      </c>
      <c r="AJ57" t="s">
        <v>185</v>
      </c>
    </row>
    <row r="58" spans="2:36">
      <c r="AI58">
        <v>2053</v>
      </c>
      <c r="AJ58" t="s">
        <v>186</v>
      </c>
    </row>
    <row r="59" spans="2:36">
      <c r="AI59">
        <v>2058</v>
      </c>
      <c r="AJ59" t="s">
        <v>187</v>
      </c>
    </row>
    <row r="60" spans="2:36">
      <c r="AI60">
        <v>2060</v>
      </c>
      <c r="AJ60" t="s">
        <v>188</v>
      </c>
    </row>
    <row r="61" spans="2:36">
      <c r="B61" t="s">
        <v>49</v>
      </c>
      <c r="C61" s="30" t="s">
        <v>95</v>
      </c>
      <c r="D61" s="137">
        <f ca="1">TODAY()</f>
        <v>46235</v>
      </c>
      <c r="G61" s="31" t="s">
        <v>115</v>
      </c>
      <c r="H61" s="37">
        <v>1.7361111111111112E-2</v>
      </c>
      <c r="I61" s="31" t="s">
        <v>152</v>
      </c>
      <c r="J61" s="37">
        <v>4.8611111111111112E-3</v>
      </c>
      <c r="K61" s="37">
        <v>2.5</v>
      </c>
      <c r="L61" s="15" t="s">
        <v>108</v>
      </c>
      <c r="M61" s="36">
        <v>0.42708333333333331</v>
      </c>
      <c r="N61" s="37">
        <v>0.45833333333333331</v>
      </c>
      <c r="O61" s="37">
        <v>0.52083333333333337</v>
      </c>
      <c r="P61" s="37">
        <v>0.5625</v>
      </c>
      <c r="Q61" s="38">
        <v>7.2916666666666671E-2</v>
      </c>
      <c r="R61" s="38">
        <v>3.125E-2</v>
      </c>
      <c r="S61" s="38">
        <v>4.1666666666666664E-2</v>
      </c>
      <c r="U61" s="79" t="s">
        <v>124</v>
      </c>
    </row>
    <row r="62" spans="2:36">
      <c r="B62" t="s">
        <v>51</v>
      </c>
      <c r="C62" s="30" t="s">
        <v>96</v>
      </c>
      <c r="D62" s="137">
        <f ca="1">TODAY()+1</f>
        <v>46236</v>
      </c>
      <c r="G62" s="31" t="s">
        <v>116</v>
      </c>
      <c r="H62" s="37">
        <v>1.3888888888888888E-2</v>
      </c>
      <c r="I62" s="31" t="s">
        <v>153</v>
      </c>
      <c r="J62" s="37">
        <v>4.8611111111111112E-3</v>
      </c>
      <c r="K62" s="37">
        <v>2.5</v>
      </c>
      <c r="L62" s="15" t="s">
        <v>109</v>
      </c>
      <c r="M62" s="36">
        <v>0.375</v>
      </c>
      <c r="N62" s="37">
        <v>0.40972222222222227</v>
      </c>
      <c r="O62" s="37">
        <v>0.4861111111111111</v>
      </c>
      <c r="P62" s="37">
        <v>0.52083333333333337</v>
      </c>
      <c r="Q62" s="38">
        <v>6.9444444444444434E-2</v>
      </c>
      <c r="R62" s="38">
        <v>3.4722222222222224E-2</v>
      </c>
      <c r="S62" s="38">
        <v>3.4722222222222224E-2</v>
      </c>
    </row>
    <row r="63" spans="2:36">
      <c r="C63" s="30" t="s">
        <v>99</v>
      </c>
      <c r="D63" s="137">
        <f ca="1">TODAY()+2</f>
        <v>46237</v>
      </c>
      <c r="L63" s="15" t="s">
        <v>110</v>
      </c>
      <c r="M63" s="36">
        <v>0.70833333333333337</v>
      </c>
      <c r="N63" s="37">
        <v>0.75</v>
      </c>
      <c r="P63" s="130" t="s">
        <v>214</v>
      </c>
      <c r="Q63" s="37"/>
      <c r="R63" s="38">
        <v>4.1666666666666664E-2</v>
      </c>
      <c r="S63" s="37"/>
      <c r="AI63">
        <v>2063</v>
      </c>
      <c r="AJ63" t="s">
        <v>189</v>
      </c>
    </row>
    <row r="64" spans="2:36">
      <c r="C64" s="30" t="s">
        <v>130</v>
      </c>
      <c r="D64" s="137">
        <f ca="1">TODAY()+3</f>
        <v>46238</v>
      </c>
      <c r="G64" s="36" t="s">
        <v>122</v>
      </c>
      <c r="H64" s="67">
        <v>0.91666666666666696</v>
      </c>
      <c r="L64" s="15" t="s">
        <v>111</v>
      </c>
      <c r="M64" s="36">
        <v>0.66666666666666663</v>
      </c>
      <c r="N64" s="37">
        <v>0.70833333333333337</v>
      </c>
      <c r="P64" s="67">
        <v>9.7222222222222224E-3</v>
      </c>
      <c r="Q64" s="37"/>
      <c r="R64" s="38">
        <v>4.1666666666666664E-2</v>
      </c>
      <c r="S64" s="37"/>
      <c r="AI64">
        <v>2064</v>
      </c>
      <c r="AJ64" t="s">
        <v>190</v>
      </c>
    </row>
    <row r="65" spans="1:36">
      <c r="C65" s="30" t="s">
        <v>131</v>
      </c>
      <c r="D65" s="137">
        <f ca="1">TODAY()+4</f>
        <v>46239</v>
      </c>
      <c r="G65" s="38" t="e">
        <f ca="1">データシート２!F47</f>
        <v>#VALUE!</v>
      </c>
      <c r="H65" s="37" t="e">
        <f ca="1">H64-G65</f>
        <v>#VALUE!</v>
      </c>
      <c r="J65" s="78" t="s">
        <v>123</v>
      </c>
      <c r="K65" s="67">
        <v>0.41666666666666669</v>
      </c>
      <c r="L65"/>
      <c r="AI65">
        <v>2069</v>
      </c>
      <c r="AJ65" t="s">
        <v>191</v>
      </c>
    </row>
    <row r="66" spans="1:36">
      <c r="C66" s="30" t="s">
        <v>151</v>
      </c>
      <c r="D66" s="137">
        <f ca="1">TODAY()+5</f>
        <v>46240</v>
      </c>
      <c r="H66" s="138" t="e">
        <f ca="1">G65-H64</f>
        <v>#VALUE!</v>
      </c>
      <c r="M66">
        <f>LEN(B80)</f>
        <v>26</v>
      </c>
    </row>
    <row r="67" spans="1:36">
      <c r="C67" s="30" t="s">
        <v>163</v>
      </c>
      <c r="D67" s="137">
        <f ca="1">TODAY()+6</f>
        <v>46241</v>
      </c>
      <c r="AI67">
        <v>2083</v>
      </c>
      <c r="AJ67" t="s">
        <v>192</v>
      </c>
    </row>
    <row r="68" spans="1:36">
      <c r="B68" t="s">
        <v>38</v>
      </c>
      <c r="D68" s="57" t="s">
        <v>59</v>
      </c>
      <c r="E68" s="57" t="s">
        <v>60</v>
      </c>
      <c r="F68" s="57" t="s">
        <v>61</v>
      </c>
      <c r="G68" s="57" t="s">
        <v>62</v>
      </c>
      <c r="H68" s="27" t="s">
        <v>63</v>
      </c>
      <c r="I68" s="53" t="s">
        <v>64</v>
      </c>
      <c r="J68" s="27" t="s">
        <v>65</v>
      </c>
      <c r="K68" s="53" t="s">
        <v>66</v>
      </c>
      <c r="L68" s="48" t="s">
        <v>67</v>
      </c>
      <c r="M68" s="57" t="s">
        <v>68</v>
      </c>
      <c r="N68" s="53" t="s">
        <v>69</v>
      </c>
      <c r="O68" s="53" t="s">
        <v>70</v>
      </c>
      <c r="P68" s="48" t="s">
        <v>58</v>
      </c>
      <c r="Q68" s="48" t="s">
        <v>71</v>
      </c>
      <c r="R68" s="48" t="s">
        <v>642</v>
      </c>
      <c r="S68" s="48" t="s">
        <v>72</v>
      </c>
      <c r="T68" s="48" t="s">
        <v>73</v>
      </c>
      <c r="U68" s="48" t="s">
        <v>74</v>
      </c>
      <c r="V68" s="48" t="s">
        <v>75</v>
      </c>
      <c r="W68" s="48" t="s">
        <v>76</v>
      </c>
      <c r="X68" s="48" t="s">
        <v>77</v>
      </c>
      <c r="Y68" s="48"/>
      <c r="Z68" s="48"/>
      <c r="AA68" s="48"/>
      <c r="AB68" s="48"/>
      <c r="AC68" s="48"/>
    </row>
    <row r="69" spans="1:36">
      <c r="B69" s="27" t="s">
        <v>23</v>
      </c>
      <c r="C69" s="27" t="s">
        <v>39</v>
      </c>
      <c r="D69" s="36" t="s">
        <v>22</v>
      </c>
      <c r="E69" s="36" t="s">
        <v>21</v>
      </c>
      <c r="F69" s="36" t="s">
        <v>2</v>
      </c>
      <c r="G69" s="36" t="s">
        <v>21</v>
      </c>
      <c r="H69" t="s">
        <v>24</v>
      </c>
      <c r="I69" s="37" t="s">
        <v>26</v>
      </c>
      <c r="J69" t="s">
        <v>25</v>
      </c>
      <c r="K69" s="37" t="s">
        <v>27</v>
      </c>
      <c r="L69" s="15" t="s">
        <v>28</v>
      </c>
      <c r="M69" s="36" t="s">
        <v>30</v>
      </c>
      <c r="N69" s="37" t="s">
        <v>31</v>
      </c>
      <c r="O69" s="37" t="s">
        <v>32</v>
      </c>
      <c r="P69" s="15" t="s">
        <v>33</v>
      </c>
      <c r="Q69" s="15" t="s">
        <v>43</v>
      </c>
      <c r="R69" s="15" t="s">
        <v>154</v>
      </c>
      <c r="S69" s="15" t="s">
        <v>34</v>
      </c>
      <c r="T69" s="15" t="s">
        <v>35</v>
      </c>
      <c r="U69" s="15" t="s">
        <v>36</v>
      </c>
      <c r="V69" s="15" t="s">
        <v>37</v>
      </c>
      <c r="W69" s="30"/>
      <c r="X69" s="30"/>
      <c r="Y69" s="30"/>
      <c r="Z69" s="30"/>
      <c r="AA69" s="30"/>
      <c r="AB69" s="30"/>
      <c r="AC69" s="30"/>
    </row>
    <row r="70" spans="1:36">
      <c r="A70" s="37"/>
      <c r="B70" s="27"/>
      <c r="C70" s="27"/>
      <c r="W70" s="30"/>
      <c r="X70" s="30"/>
      <c r="Y70" s="30"/>
      <c r="Z70" s="30"/>
      <c r="AA70" s="30"/>
      <c r="AB70" s="30"/>
      <c r="AC70" s="30"/>
    </row>
    <row r="71" spans="1:36">
      <c r="B71" s="44" t="s">
        <v>440</v>
      </c>
      <c r="C71" s="45"/>
      <c r="D71" s="37">
        <v>0.3659722222222222</v>
      </c>
      <c r="E71" s="36">
        <v>0.3659722222222222</v>
      </c>
      <c r="F71" s="36">
        <v>0.43958333333333333</v>
      </c>
      <c r="G71" s="36">
        <v>0.43958333333333333</v>
      </c>
      <c r="H71" s="30" t="s">
        <v>29</v>
      </c>
      <c r="I71" s="38">
        <v>0.37291666666666667</v>
      </c>
      <c r="J71" s="30" t="s">
        <v>29</v>
      </c>
      <c r="K71" s="38">
        <v>0.43263888888888891</v>
      </c>
      <c r="L71" s="29" t="s">
        <v>53</v>
      </c>
      <c r="M71" s="31">
        <v>0.37708333333333333</v>
      </c>
      <c r="N71" s="38">
        <v>0.43055555555555558</v>
      </c>
      <c r="O71" s="31">
        <v>5.9722222222222225E-2</v>
      </c>
      <c r="P71" s="39">
        <v>18.600000000000001</v>
      </c>
      <c r="Q71" s="36">
        <v>5.9722222222222225E-2</v>
      </c>
      <c r="W71" s="30" t="s">
        <v>91</v>
      </c>
      <c r="X71" s="30"/>
      <c r="Y71" s="30"/>
      <c r="Z71" s="30"/>
      <c r="AA71" s="30"/>
      <c r="AB71" s="30"/>
      <c r="AC71" s="30"/>
    </row>
    <row r="72" spans="1:36">
      <c r="A72" s="37"/>
      <c r="B72" s="44" t="s">
        <v>452</v>
      </c>
      <c r="C72" s="45"/>
      <c r="D72" s="36">
        <v>0.50486111111111109</v>
      </c>
      <c r="E72" s="36">
        <v>0.50486111111111109</v>
      </c>
      <c r="F72" s="36">
        <v>0.57847222222222228</v>
      </c>
      <c r="G72" s="36">
        <v>0.57847222222222228</v>
      </c>
      <c r="H72" s="30" t="s">
        <v>29</v>
      </c>
      <c r="I72" s="38">
        <v>0.51180555555555551</v>
      </c>
      <c r="J72" s="30" t="s">
        <v>29</v>
      </c>
      <c r="K72" s="38">
        <v>0.57152777777777775</v>
      </c>
      <c r="L72" s="29" t="s">
        <v>441</v>
      </c>
      <c r="M72" s="31">
        <v>0.51597222222222228</v>
      </c>
      <c r="N72" s="38">
        <v>0.56944444444444442</v>
      </c>
      <c r="O72" s="31">
        <v>5.9722222222222225E-2</v>
      </c>
      <c r="P72" s="39">
        <v>18.600000000000001</v>
      </c>
      <c r="Q72" s="36">
        <v>5.9722222222222225E-2</v>
      </c>
      <c r="W72" s="30" t="s">
        <v>91</v>
      </c>
      <c r="X72" s="30"/>
      <c r="Y72" s="30"/>
      <c r="Z72" s="30"/>
      <c r="AA72" s="30"/>
      <c r="AB72" s="30"/>
      <c r="AC72" s="30"/>
      <c r="AI72">
        <v>2088</v>
      </c>
      <c r="AJ72" t="s">
        <v>193</v>
      </c>
    </row>
    <row r="73" spans="1:36">
      <c r="A73" s="37"/>
      <c r="B73" s="44" t="s">
        <v>453</v>
      </c>
      <c r="C73" s="45"/>
      <c r="D73" s="36">
        <v>0.64930555555555558</v>
      </c>
      <c r="E73" s="36">
        <v>0.64930555555555558</v>
      </c>
      <c r="F73" s="36">
        <v>0.77847222222222223</v>
      </c>
      <c r="G73" s="36">
        <v>0.77847222222222223</v>
      </c>
      <c r="H73" s="30" t="s">
        <v>29</v>
      </c>
      <c r="I73" s="38">
        <v>0.65625</v>
      </c>
      <c r="J73" s="30" t="s">
        <v>29</v>
      </c>
      <c r="K73" s="38">
        <v>0.77152777777777781</v>
      </c>
      <c r="L73" s="29" t="s">
        <v>143</v>
      </c>
      <c r="M73" s="31">
        <v>0.66041666666666665</v>
      </c>
      <c r="N73" s="38">
        <v>0.76944444444444449</v>
      </c>
      <c r="O73" s="31">
        <v>0.11527777777777778</v>
      </c>
      <c r="P73" s="39">
        <v>35</v>
      </c>
      <c r="Q73" s="36">
        <v>0.11527777777777778</v>
      </c>
      <c r="W73" s="30" t="s">
        <v>91</v>
      </c>
      <c r="X73" s="30"/>
      <c r="Y73" s="30"/>
      <c r="Z73" s="30"/>
      <c r="AA73" s="30"/>
      <c r="AB73" s="30"/>
      <c r="AC73" s="30"/>
    </row>
    <row r="74" spans="1:36">
      <c r="A74" s="37"/>
      <c r="B74" s="44" t="s">
        <v>454</v>
      </c>
      <c r="C74" s="45"/>
      <c r="D74" s="36">
        <v>0.64930555555555558</v>
      </c>
      <c r="E74" s="36">
        <v>0.64930555555555558</v>
      </c>
      <c r="F74" s="36">
        <v>0.77222222222222225</v>
      </c>
      <c r="G74" s="36">
        <v>0.77222222222222225</v>
      </c>
      <c r="H74" s="30" t="s">
        <v>29</v>
      </c>
      <c r="I74" s="38">
        <v>0.65625</v>
      </c>
      <c r="J74" s="30" t="s">
        <v>29</v>
      </c>
      <c r="K74" s="38">
        <v>0.76527777777777772</v>
      </c>
      <c r="L74" s="29" t="s">
        <v>143</v>
      </c>
      <c r="M74" s="31">
        <v>0.66041666666666665</v>
      </c>
      <c r="N74" s="38">
        <v>0.7583333333333333</v>
      </c>
      <c r="O74" s="31">
        <v>0.10902777777777778</v>
      </c>
      <c r="P74" s="39">
        <v>34.5</v>
      </c>
      <c r="Q74" s="36">
        <v>0.10902777777777778</v>
      </c>
      <c r="W74" s="30" t="s">
        <v>91</v>
      </c>
      <c r="X74" s="30"/>
      <c r="Y74" s="30"/>
      <c r="Z74" s="30"/>
      <c r="AA74" s="30"/>
      <c r="AB74" s="30"/>
      <c r="AC74" s="30"/>
    </row>
    <row r="75" spans="1:36">
      <c r="B75" s="44" t="s">
        <v>455</v>
      </c>
      <c r="C75" s="45"/>
      <c r="D75" s="36">
        <v>0.79097222222222219</v>
      </c>
      <c r="E75" s="36">
        <v>0.79097222222222219</v>
      </c>
      <c r="F75" s="36">
        <v>0.87083333333333335</v>
      </c>
      <c r="G75" s="36">
        <v>0.87083333333333335</v>
      </c>
      <c r="H75" s="30" t="s">
        <v>29</v>
      </c>
      <c r="I75" s="38">
        <v>0.79791666666666672</v>
      </c>
      <c r="J75" s="30" t="s">
        <v>52</v>
      </c>
      <c r="K75" s="38">
        <v>0.86388888888888893</v>
      </c>
      <c r="L75" s="29" t="s">
        <v>144</v>
      </c>
      <c r="M75" s="31">
        <v>0.80555555555555558</v>
      </c>
      <c r="N75" s="38">
        <v>0.86388888888888893</v>
      </c>
      <c r="O75" s="31">
        <v>6.5972222222222224E-2</v>
      </c>
      <c r="P75" s="39">
        <v>29.6</v>
      </c>
      <c r="Q75" s="36">
        <v>6.5972222222222224E-2</v>
      </c>
      <c r="W75" s="30" t="s">
        <v>91</v>
      </c>
      <c r="X75" s="30"/>
      <c r="Y75" s="30"/>
      <c r="Z75" s="30"/>
      <c r="AA75" s="30"/>
      <c r="AB75" s="30"/>
      <c r="AC75" s="30"/>
    </row>
    <row r="76" spans="1:36">
      <c r="B76" s="44" t="s">
        <v>456</v>
      </c>
      <c r="C76" s="45"/>
      <c r="D76" s="36">
        <v>0.79097222222222219</v>
      </c>
      <c r="E76" s="36">
        <v>0.79097222222222219</v>
      </c>
      <c r="F76" s="36">
        <v>0.90555555555555556</v>
      </c>
      <c r="G76" s="36">
        <v>0.90555555555555556</v>
      </c>
      <c r="H76" s="30" t="s">
        <v>29</v>
      </c>
      <c r="I76" s="38">
        <v>0.79791666666666672</v>
      </c>
      <c r="J76" s="30" t="s">
        <v>29</v>
      </c>
      <c r="K76" s="38">
        <v>0.89861111111111114</v>
      </c>
      <c r="L76" s="29" t="s">
        <v>144</v>
      </c>
      <c r="M76" s="31">
        <v>0.80555555555555558</v>
      </c>
      <c r="N76" s="38">
        <v>0.89861111111111114</v>
      </c>
      <c r="O76" s="31">
        <v>0.10069444444444445</v>
      </c>
      <c r="P76" s="39">
        <v>53.7</v>
      </c>
      <c r="Q76" s="36">
        <v>0.10069444444444445</v>
      </c>
      <c r="W76" s="30" t="s">
        <v>91</v>
      </c>
      <c r="X76" s="30"/>
      <c r="Y76" s="30"/>
      <c r="Z76" s="30"/>
      <c r="AA76" s="30"/>
      <c r="AB76" s="30"/>
      <c r="AC76" s="30"/>
    </row>
    <row r="77" spans="1:36">
      <c r="A77" s="37"/>
      <c r="B77" s="44" t="s">
        <v>282</v>
      </c>
      <c r="C77" s="83"/>
      <c r="D77" s="36">
        <v>0.3659722222222222</v>
      </c>
      <c r="E77" s="36">
        <v>0.3659722222222222</v>
      </c>
      <c r="F77" s="36">
        <v>0.90555555555555556</v>
      </c>
      <c r="G77" s="36">
        <v>0.90555555555555556</v>
      </c>
      <c r="H77" s="30" t="s">
        <v>29</v>
      </c>
      <c r="I77" s="38">
        <v>0.37291666666666667</v>
      </c>
      <c r="J77" s="30" t="s">
        <v>29</v>
      </c>
      <c r="K77" s="38">
        <v>0.89861111111111114</v>
      </c>
      <c r="L77" s="32" t="s">
        <v>442</v>
      </c>
      <c r="M77" s="31">
        <v>0.37708333333333333</v>
      </c>
      <c r="N77" s="38">
        <v>0.89861111111111114</v>
      </c>
      <c r="O77" s="31" t="str">
        <f ca="1">IF($A$4="平日","8:03","7:54")</f>
        <v>8:03</v>
      </c>
      <c r="P77" s="40">
        <f ca="1">IF($A$4="平日",125.9,125.4)</f>
        <v>125.9</v>
      </c>
      <c r="Q77" s="31" t="str">
        <f ca="1">IF($A$4="平日","8:23","8:14")</f>
        <v>8:23</v>
      </c>
      <c r="W77" s="30" t="s">
        <v>91</v>
      </c>
      <c r="X77" s="30"/>
      <c r="Y77" s="30"/>
      <c r="Z77" s="30"/>
      <c r="AA77" s="30"/>
      <c r="AB77" s="30"/>
      <c r="AC77" s="30"/>
    </row>
    <row r="78" spans="1:36">
      <c r="A78" s="37"/>
      <c r="B78" s="44" t="s">
        <v>361</v>
      </c>
      <c r="C78" s="46"/>
      <c r="D78" s="36">
        <v>0.3659722222222222</v>
      </c>
      <c r="E78" s="36">
        <v>0.3659722222222222</v>
      </c>
      <c r="F78" s="36">
        <v>0.87083333333333335</v>
      </c>
      <c r="G78" s="36">
        <v>0.87083333333333335</v>
      </c>
      <c r="H78" s="30" t="s">
        <v>29</v>
      </c>
      <c r="I78" s="38">
        <v>0.37291666666666667</v>
      </c>
      <c r="J78" s="30" t="s">
        <v>52</v>
      </c>
      <c r="K78" s="38">
        <v>0.87083333333333335</v>
      </c>
      <c r="L78" s="32" t="s">
        <v>442</v>
      </c>
      <c r="M78" s="31">
        <v>0.37708333333333333</v>
      </c>
      <c r="N78" s="38">
        <v>0.86388888888888893</v>
      </c>
      <c r="O78" s="31" t="str">
        <f ca="1">IF($A$4="平日","7:13","7:04")</f>
        <v>7:13</v>
      </c>
      <c r="P78" s="40">
        <f ca="1">IF($A$4="平日",101.8,101.3)</f>
        <v>101.8</v>
      </c>
      <c r="Q78" s="31" t="str">
        <f ca="1">IF($A$4="平日","7:33","7:24")</f>
        <v>7:33</v>
      </c>
      <c r="W78" s="30" t="s">
        <v>91</v>
      </c>
      <c r="X78" s="30"/>
      <c r="Y78" s="30"/>
      <c r="Z78" s="30"/>
      <c r="AA78" s="30"/>
      <c r="AB78" s="30"/>
      <c r="AC78" s="30"/>
    </row>
    <row r="79" spans="1:36">
      <c r="B79" s="44" t="s">
        <v>283</v>
      </c>
      <c r="C79" s="83"/>
      <c r="D79" s="36">
        <v>0.24027777777777778</v>
      </c>
      <c r="E79" s="36">
        <v>0.24027777777777778</v>
      </c>
      <c r="F79" s="36">
        <v>0.36319444444444443</v>
      </c>
      <c r="G79" s="36">
        <v>0.36319444444444443</v>
      </c>
      <c r="H79" s="30" t="s">
        <v>29</v>
      </c>
      <c r="I79" s="38">
        <v>0.25069444444444444</v>
      </c>
      <c r="J79" s="30" t="s">
        <v>29</v>
      </c>
      <c r="K79" s="38">
        <v>0.35625000000000001</v>
      </c>
      <c r="L79" s="29" t="s">
        <v>144</v>
      </c>
      <c r="M79" s="31">
        <v>0.28749999999999998</v>
      </c>
      <c r="N79" s="38">
        <v>0.35069444444444442</v>
      </c>
      <c r="O79" s="31">
        <v>0.10555555555555556</v>
      </c>
      <c r="P79" s="39">
        <v>53.7</v>
      </c>
      <c r="Q79" s="36">
        <v>0.12291666666666666</v>
      </c>
      <c r="W79" s="30" t="s">
        <v>91</v>
      </c>
      <c r="X79" s="30"/>
      <c r="Y79" s="30"/>
      <c r="Z79" s="30"/>
      <c r="AA79" s="30"/>
      <c r="AB79" s="30"/>
      <c r="AC79" s="30"/>
    </row>
    <row r="80" spans="1:36">
      <c r="B80" s="44" t="s">
        <v>362</v>
      </c>
      <c r="C80" s="46"/>
      <c r="D80" s="36">
        <v>0.27708333333333335</v>
      </c>
      <c r="E80" s="36">
        <v>0.27708333333333335</v>
      </c>
      <c r="F80" s="36">
        <v>0.36319444444444443</v>
      </c>
      <c r="G80" s="36">
        <v>0.36319444444444443</v>
      </c>
      <c r="H80" s="30" t="s">
        <v>52</v>
      </c>
      <c r="I80" s="38">
        <v>0.28749999999999998</v>
      </c>
      <c r="J80" s="30" t="s">
        <v>29</v>
      </c>
      <c r="K80" s="38">
        <v>0.35625000000000001</v>
      </c>
      <c r="L80" s="29" t="s">
        <v>144</v>
      </c>
      <c r="M80" s="31">
        <v>0.28749999999999998</v>
      </c>
      <c r="N80" s="38">
        <v>0.35069444444444442</v>
      </c>
      <c r="O80" s="31">
        <v>6.8750000000000006E-2</v>
      </c>
      <c r="P80" s="39">
        <v>29.6</v>
      </c>
      <c r="Q80" s="36">
        <v>8.611111111111111E-2</v>
      </c>
      <c r="R80" s="39"/>
      <c r="W80" s="30" t="s">
        <v>91</v>
      </c>
      <c r="X80" s="30"/>
      <c r="Y80" s="30"/>
      <c r="Z80" s="30"/>
      <c r="AA80" s="30"/>
      <c r="AB80" s="30"/>
      <c r="AC80" s="30"/>
    </row>
    <row r="81" spans="2:36">
      <c r="B81" s="44" t="s">
        <v>457</v>
      </c>
      <c r="C81" s="45"/>
      <c r="D81" s="36">
        <v>0.29652777777777778</v>
      </c>
      <c r="E81" s="36">
        <v>0.29652777777777778</v>
      </c>
      <c r="F81" s="36">
        <v>0.44097222222222221</v>
      </c>
      <c r="G81" s="36">
        <v>0.44097222222222221</v>
      </c>
      <c r="H81" s="30" t="s">
        <v>29</v>
      </c>
      <c r="I81" s="38">
        <v>0.30694444444444446</v>
      </c>
      <c r="J81" s="30" t="s">
        <v>29</v>
      </c>
      <c r="K81" s="38">
        <v>0.43402777777777779</v>
      </c>
      <c r="L81" s="29" t="s">
        <v>220</v>
      </c>
      <c r="M81" s="31">
        <v>0.31597222222222221</v>
      </c>
      <c r="N81" s="38">
        <v>0.42708333333333331</v>
      </c>
      <c r="O81" s="31">
        <v>0.12222222222222222</v>
      </c>
      <c r="P81" s="39">
        <v>36.6</v>
      </c>
      <c r="Q81" s="36">
        <v>0.12708333333333333</v>
      </c>
      <c r="W81" s="30" t="s">
        <v>91</v>
      </c>
      <c r="X81" s="30"/>
      <c r="Y81" s="30"/>
      <c r="Z81" s="30"/>
      <c r="AA81" s="30"/>
      <c r="AB81" s="30"/>
      <c r="AC81" s="30"/>
    </row>
    <row r="82" spans="2:36">
      <c r="B82" s="44" t="s">
        <v>227</v>
      </c>
      <c r="C82" s="45"/>
      <c r="D82" s="36">
        <v>0.4826388888888889</v>
      </c>
      <c r="E82" s="36">
        <v>0.4826388888888889</v>
      </c>
      <c r="F82" s="36">
        <v>0.61458333333333337</v>
      </c>
      <c r="G82" s="36">
        <v>0.61458333333333337</v>
      </c>
      <c r="H82" s="30" t="s">
        <v>29</v>
      </c>
      <c r="I82" s="38">
        <v>0.48958333333333331</v>
      </c>
      <c r="J82" s="30" t="s">
        <v>29</v>
      </c>
      <c r="K82" s="38">
        <v>0.60763888888888895</v>
      </c>
      <c r="L82" s="29" t="s">
        <v>540</v>
      </c>
      <c r="M82" s="31">
        <v>0.5</v>
      </c>
      <c r="N82" s="38">
        <v>0.60069444444444442</v>
      </c>
      <c r="O82" s="31">
        <v>0.11527777777777778</v>
      </c>
      <c r="P82" s="39">
        <v>36.4</v>
      </c>
      <c r="Q82" s="36">
        <v>0.11805555555555555</v>
      </c>
      <c r="W82" s="30" t="s">
        <v>91</v>
      </c>
      <c r="X82" s="30"/>
      <c r="Y82" s="30"/>
      <c r="Z82" s="30"/>
      <c r="AA82" s="30"/>
      <c r="AB82" s="30"/>
      <c r="AC82" s="30"/>
    </row>
    <row r="83" spans="2:36">
      <c r="B83" s="44" t="s">
        <v>228</v>
      </c>
      <c r="C83" s="45"/>
      <c r="D83" s="36">
        <v>0.64583333333333337</v>
      </c>
      <c r="E83" s="36">
        <v>0.64583333333333337</v>
      </c>
      <c r="F83" s="36">
        <v>0.78472222222222221</v>
      </c>
      <c r="G83" s="36">
        <v>0.78472222222222221</v>
      </c>
      <c r="H83" s="30" t="s">
        <v>29</v>
      </c>
      <c r="I83" s="38">
        <v>0.65277777777777779</v>
      </c>
      <c r="J83" s="30" t="s">
        <v>29</v>
      </c>
      <c r="K83" s="38">
        <v>0.77777777777777779</v>
      </c>
      <c r="L83" s="29" t="s">
        <v>541</v>
      </c>
      <c r="M83" s="31">
        <v>0.66319444444444442</v>
      </c>
      <c r="N83" s="38">
        <v>0.77083333333333337</v>
      </c>
      <c r="O83" s="31">
        <v>0.11527777777777778</v>
      </c>
      <c r="P83" s="39">
        <v>36.6</v>
      </c>
      <c r="Q83" s="36">
        <v>0.125</v>
      </c>
      <c r="W83" s="30" t="s">
        <v>91</v>
      </c>
      <c r="X83" s="30"/>
      <c r="Y83" s="30"/>
      <c r="Z83" s="30"/>
      <c r="AA83" s="30"/>
      <c r="AB83" s="30"/>
      <c r="AC83" s="30"/>
    </row>
    <row r="84" spans="2:36">
      <c r="B84" s="44" t="s">
        <v>229</v>
      </c>
      <c r="C84" s="45"/>
      <c r="D84" s="36">
        <v>0.80902777777777779</v>
      </c>
      <c r="E84" s="36">
        <v>0.80902777777777779</v>
      </c>
      <c r="F84" s="36">
        <v>0.8833333333333333</v>
      </c>
      <c r="G84" s="36">
        <v>0.8833333333333333</v>
      </c>
      <c r="H84" s="30" t="s">
        <v>29</v>
      </c>
      <c r="I84" s="38">
        <v>0.81597222222222221</v>
      </c>
      <c r="J84" s="30" t="s">
        <v>29</v>
      </c>
      <c r="K84" s="38">
        <v>0.87638888888888899</v>
      </c>
      <c r="L84" s="29" t="s">
        <v>540</v>
      </c>
      <c r="M84" s="31">
        <v>0.82638888888888884</v>
      </c>
      <c r="N84" s="38">
        <v>0.86944444444444446</v>
      </c>
      <c r="O84" s="31">
        <v>5.9027777777777776E-2</v>
      </c>
      <c r="P84" s="39">
        <v>21.5</v>
      </c>
      <c r="Q84" s="36">
        <v>6.0416666666666667E-2</v>
      </c>
      <c r="W84" s="30" t="s">
        <v>91</v>
      </c>
      <c r="X84" s="30"/>
      <c r="Y84" s="30"/>
      <c r="Z84" s="30"/>
      <c r="AA84" s="30"/>
      <c r="AB84" s="30"/>
      <c r="AC84" s="30"/>
    </row>
    <row r="85" spans="2:36">
      <c r="B85" s="44" t="s">
        <v>458</v>
      </c>
      <c r="C85" s="45"/>
      <c r="D85" s="36">
        <v>0.32500000000000001</v>
      </c>
      <c r="E85" s="36">
        <v>0.32500000000000001</v>
      </c>
      <c r="F85" s="36">
        <v>0.41736111111111113</v>
      </c>
      <c r="G85" s="36">
        <v>0.41736111111111113</v>
      </c>
      <c r="H85" s="30" t="s">
        <v>29</v>
      </c>
      <c r="I85" s="38">
        <v>0.33541666666666664</v>
      </c>
      <c r="J85" s="30" t="s">
        <v>29</v>
      </c>
      <c r="K85" s="38">
        <v>0.41041666666666665</v>
      </c>
      <c r="L85" s="29" t="s">
        <v>443</v>
      </c>
      <c r="M85" s="31">
        <v>0.34444444444444444</v>
      </c>
      <c r="N85" s="38">
        <v>0.40833333333333333</v>
      </c>
      <c r="O85" s="31">
        <v>7.4999999999999997E-2</v>
      </c>
      <c r="P85" s="39">
        <v>23.5</v>
      </c>
      <c r="Q85" s="36">
        <v>7.4999999999999997E-2</v>
      </c>
      <c r="W85" s="30" t="s">
        <v>91</v>
      </c>
      <c r="X85" s="30"/>
      <c r="Y85" s="30"/>
      <c r="Z85" s="30"/>
      <c r="AA85" s="30"/>
      <c r="AB85" s="30"/>
      <c r="AC85" s="30"/>
    </row>
    <row r="86" spans="2:36">
      <c r="B86" s="44" t="s">
        <v>459</v>
      </c>
      <c r="C86" s="26"/>
      <c r="D86" s="36">
        <v>0.4548611111111111</v>
      </c>
      <c r="E86" s="36">
        <v>0.4548611111111111</v>
      </c>
      <c r="F86" s="36">
        <v>0.52847222222222223</v>
      </c>
      <c r="G86" s="36">
        <v>0.52847222222222223</v>
      </c>
      <c r="H86" s="30" t="s">
        <v>29</v>
      </c>
      <c r="I86" s="38">
        <v>0.46180555555555558</v>
      </c>
      <c r="J86" s="30" t="s">
        <v>29</v>
      </c>
      <c r="K86" s="31">
        <v>0.52152777777777781</v>
      </c>
      <c r="L86" s="28">
        <v>1060</v>
      </c>
      <c r="M86" s="31">
        <v>0.46597222222222223</v>
      </c>
      <c r="N86" s="38">
        <v>0.51944444444444449</v>
      </c>
      <c r="O86" s="31">
        <v>5.9722222222222225E-2</v>
      </c>
      <c r="P86" s="39">
        <v>18.600000000000001</v>
      </c>
      <c r="Q86" s="36">
        <v>5.9722222222222225E-2</v>
      </c>
      <c r="W86" s="30" t="s">
        <v>91</v>
      </c>
      <c r="X86" s="30"/>
      <c r="Y86" s="30"/>
      <c r="Z86" s="30"/>
      <c r="AA86" s="30"/>
      <c r="AB86" s="30"/>
      <c r="AC86" s="30"/>
    </row>
    <row r="87" spans="2:36">
      <c r="B87" s="44" t="s">
        <v>460</v>
      </c>
      <c r="C87" s="26"/>
      <c r="D87" s="36">
        <v>0.59375</v>
      </c>
      <c r="E87" s="36">
        <v>0.59375</v>
      </c>
      <c r="F87" s="36">
        <v>0.66736111111111107</v>
      </c>
      <c r="G87" s="36">
        <v>0.66736111111111107</v>
      </c>
      <c r="H87" s="30" t="s">
        <v>29</v>
      </c>
      <c r="I87" s="38">
        <v>0.60069444444444442</v>
      </c>
      <c r="J87" s="30" t="s">
        <v>29</v>
      </c>
      <c r="K87" s="31">
        <v>0.66041666666666665</v>
      </c>
      <c r="L87" s="28" t="s">
        <v>143</v>
      </c>
      <c r="M87" s="31">
        <v>0.60486111111111107</v>
      </c>
      <c r="N87" s="38">
        <v>0.65833333333333333</v>
      </c>
      <c r="O87" s="31">
        <v>5.9722222222222225E-2</v>
      </c>
      <c r="P87" s="39">
        <v>18.600000000000001</v>
      </c>
      <c r="Q87" s="36">
        <v>5.9722222222222225E-2</v>
      </c>
      <c r="W87" s="30" t="s">
        <v>91</v>
      </c>
      <c r="X87" s="30"/>
      <c r="Y87" s="30"/>
      <c r="Z87" s="30"/>
      <c r="AA87" s="30"/>
      <c r="AB87" s="30"/>
      <c r="AC87" s="30"/>
    </row>
    <row r="88" spans="2:36">
      <c r="B88" s="44" t="s">
        <v>461</v>
      </c>
      <c r="C88" s="26"/>
      <c r="D88" s="36">
        <v>0.67708333333333337</v>
      </c>
      <c r="E88" s="36">
        <v>0.67708333333333337</v>
      </c>
      <c r="F88" s="36">
        <v>0.7993055555555556</v>
      </c>
      <c r="G88" s="36">
        <v>0.7993055555555556</v>
      </c>
      <c r="H88" s="30" t="s">
        <v>29</v>
      </c>
      <c r="I88" s="38">
        <v>0.68402777777777779</v>
      </c>
      <c r="J88" s="30" t="s">
        <v>29</v>
      </c>
      <c r="K88" s="31">
        <v>0.79236111111111107</v>
      </c>
      <c r="L88" s="28">
        <v>1050</v>
      </c>
      <c r="M88" s="31">
        <v>0.68819444444444444</v>
      </c>
      <c r="N88" s="38">
        <v>0.78541666666666665</v>
      </c>
      <c r="O88" s="31">
        <v>0.10833333333333334</v>
      </c>
      <c r="P88" s="39">
        <v>34.5</v>
      </c>
      <c r="Q88" s="36">
        <v>0.10833333333333334</v>
      </c>
      <c r="W88" s="30" t="s">
        <v>91</v>
      </c>
      <c r="X88" s="30"/>
      <c r="Y88" s="30"/>
      <c r="Z88" s="30"/>
      <c r="AA88" s="30"/>
      <c r="AB88" s="30"/>
      <c r="AC88" s="30"/>
    </row>
    <row r="89" spans="2:36">
      <c r="B89" s="44" t="s">
        <v>363</v>
      </c>
      <c r="C89" s="46"/>
      <c r="D89" s="31" t="str">
        <f ca="1">IF($A$4="平日","7:07","7:48")</f>
        <v>7:07</v>
      </c>
      <c r="E89" s="31" t="str">
        <f ca="1">IF($A$4="平日","7:07","7:48")</f>
        <v>7:07</v>
      </c>
      <c r="F89" s="31" t="str">
        <f ca="1">IF($A$4="平日","21:12","19:11")</f>
        <v>21:12</v>
      </c>
      <c r="G89" s="31" t="str">
        <f ca="1">IF($A$4="平日","21:12","19:11")</f>
        <v>21:12</v>
      </c>
      <c r="H89" s="30" t="s">
        <v>29</v>
      </c>
      <c r="I89" s="31" t="str">
        <f ca="1">IF($A$4="平日","7:22","8:03")</f>
        <v>7:22</v>
      </c>
      <c r="J89" s="30" t="s">
        <v>29</v>
      </c>
      <c r="K89" s="31" t="str">
        <f ca="1">IF($A$4="平日","21:02","19:01")</f>
        <v>21:02</v>
      </c>
      <c r="L89" s="30" t="str">
        <f ca="1">IF($A$4="平日","1038    1065    1031","1060")</f>
        <v>1038    1065    1031</v>
      </c>
      <c r="M89" s="31" t="str">
        <f ca="1">IF($A$4="平日","7:35","8:16")</f>
        <v>7:35</v>
      </c>
      <c r="N89" s="31" t="str">
        <f ca="1">IF($A$4="平日","20:52","18:51")</f>
        <v>20:52</v>
      </c>
      <c r="O89" s="31" t="str">
        <f ca="1">IF($A$4="平日","8:58","7:16")</f>
        <v>8:58</v>
      </c>
      <c r="P89" s="40">
        <f ca="1">IF($A$4="平日",111.3,95.2)</f>
        <v>111.3</v>
      </c>
      <c r="Q89" s="31" t="str">
        <f ca="1">IF($A$4="平日","9:45","7:41")</f>
        <v>9:45</v>
      </c>
      <c r="W89" s="30" t="s">
        <v>91</v>
      </c>
      <c r="X89" s="30"/>
      <c r="Y89" s="30"/>
      <c r="Z89" s="30"/>
      <c r="AA89" s="30"/>
      <c r="AB89" s="30"/>
      <c r="AC89" s="30"/>
    </row>
    <row r="90" spans="2:36">
      <c r="B90" s="44" t="s">
        <v>364</v>
      </c>
      <c r="C90" s="46"/>
      <c r="D90" s="31">
        <v>0.3125</v>
      </c>
      <c r="E90" s="36">
        <v>0.3125</v>
      </c>
      <c r="F90" s="36">
        <v>0.75416666666666665</v>
      </c>
      <c r="G90" s="36">
        <v>0.75416666666666665</v>
      </c>
      <c r="H90" s="30" t="s">
        <v>29</v>
      </c>
      <c r="I90" s="38">
        <v>0.32291666666666669</v>
      </c>
      <c r="J90" s="30" t="s">
        <v>29</v>
      </c>
      <c r="K90" s="38">
        <v>0.74722222222222223</v>
      </c>
      <c r="L90" s="29" t="s">
        <v>129</v>
      </c>
      <c r="M90" s="31">
        <v>0.33194444444444443</v>
      </c>
      <c r="N90" s="38">
        <v>0.74027777777777781</v>
      </c>
      <c r="O90" s="31">
        <v>0.14861111111111111</v>
      </c>
      <c r="P90" s="39">
        <v>51.2</v>
      </c>
      <c r="Q90" s="36">
        <v>0.17083333333333334</v>
      </c>
      <c r="W90" s="30" t="s">
        <v>91</v>
      </c>
      <c r="X90" s="30"/>
      <c r="Y90" s="30"/>
      <c r="Z90" s="30"/>
      <c r="AA90" s="30"/>
      <c r="AB90" s="30"/>
      <c r="AC90" s="30"/>
    </row>
    <row r="91" spans="2:36">
      <c r="B91" s="44" t="s">
        <v>545</v>
      </c>
      <c r="C91" s="26"/>
      <c r="D91" s="36">
        <v>0.2673611111111111</v>
      </c>
      <c r="E91" s="36">
        <v>0.2673611111111111</v>
      </c>
      <c r="F91" s="36">
        <v>0.41736111111111113</v>
      </c>
      <c r="G91" s="36">
        <v>0.41736111111111113</v>
      </c>
      <c r="H91" s="30" t="s">
        <v>29</v>
      </c>
      <c r="I91" s="38">
        <v>0.27777777777777779</v>
      </c>
      <c r="J91" s="30" t="s">
        <v>29</v>
      </c>
      <c r="K91" s="31">
        <v>0.41041666666666665</v>
      </c>
      <c r="L91" s="28">
        <v>1060</v>
      </c>
      <c r="M91" s="31">
        <v>0.28680555555555554</v>
      </c>
      <c r="N91" s="38">
        <v>0.40833333333333333</v>
      </c>
      <c r="O91" s="31">
        <v>0.13263888888888889</v>
      </c>
      <c r="P91" s="39">
        <v>39.9</v>
      </c>
      <c r="Q91" s="36">
        <v>0.13263888888888889</v>
      </c>
      <c r="W91" s="30" t="s">
        <v>91</v>
      </c>
      <c r="X91" s="30"/>
      <c r="Y91" s="30"/>
      <c r="Z91" s="30"/>
      <c r="AA91" s="30"/>
      <c r="AB91" s="30"/>
      <c r="AC91" s="30"/>
    </row>
    <row r="92" spans="2:36" ht="13.5" thickBot="1">
      <c r="B92" s="44" t="s">
        <v>546</v>
      </c>
      <c r="C92" s="26"/>
      <c r="D92" s="36">
        <v>0.4548611111111111</v>
      </c>
      <c r="E92" s="36">
        <v>0.4548611111111111</v>
      </c>
      <c r="F92" s="36">
        <v>0.52847222222222223</v>
      </c>
      <c r="G92" s="36">
        <v>0.52847222222222223</v>
      </c>
      <c r="H92" s="30" t="s">
        <v>29</v>
      </c>
      <c r="I92" s="38">
        <v>0.46180555555555558</v>
      </c>
      <c r="J92" s="30" t="s">
        <v>29</v>
      </c>
      <c r="K92" s="31">
        <v>0.52152777777777781</v>
      </c>
      <c r="L92" s="28" t="s">
        <v>443</v>
      </c>
      <c r="M92" s="31">
        <v>0.46597222222222223</v>
      </c>
      <c r="N92" s="38">
        <v>0.51944444444444449</v>
      </c>
      <c r="O92" s="31">
        <v>5.9722222222222225E-2</v>
      </c>
      <c r="P92" s="39">
        <v>18.600000000000001</v>
      </c>
      <c r="Q92" s="36">
        <v>5.9722222222222225E-2</v>
      </c>
      <c r="W92" s="30" t="s">
        <v>91</v>
      </c>
      <c r="X92" s="30"/>
      <c r="Y92" s="30"/>
      <c r="Z92" s="30"/>
      <c r="AA92" s="30"/>
      <c r="AB92" s="30"/>
      <c r="AC92" s="30"/>
      <c r="AI92" s="126"/>
      <c r="AJ92" s="126"/>
    </row>
    <row r="93" spans="2:36">
      <c r="B93" s="44" t="s">
        <v>547</v>
      </c>
      <c r="C93" s="26"/>
      <c r="D93" s="36">
        <v>0.59375</v>
      </c>
      <c r="E93" s="36">
        <v>0.59375</v>
      </c>
      <c r="F93" s="36">
        <v>0.66736111111111107</v>
      </c>
      <c r="G93" s="36">
        <v>0.66736111111111107</v>
      </c>
      <c r="H93" s="30" t="s">
        <v>29</v>
      </c>
      <c r="I93" s="38">
        <v>0.60069444444444442</v>
      </c>
      <c r="J93" s="30" t="s">
        <v>29</v>
      </c>
      <c r="K93" s="31">
        <v>0.66041666666666665</v>
      </c>
      <c r="L93" s="28" t="s">
        <v>143</v>
      </c>
      <c r="M93" s="31">
        <v>0.60486111111111107</v>
      </c>
      <c r="N93" s="38">
        <v>0.65833333333333333</v>
      </c>
      <c r="O93" s="31">
        <v>5.9722222222222225E-2</v>
      </c>
      <c r="P93" s="39">
        <v>18.600000000000001</v>
      </c>
      <c r="Q93" s="36">
        <v>5.9722222222222225E-2</v>
      </c>
      <c r="W93" s="30" t="s">
        <v>91</v>
      </c>
      <c r="X93" s="30"/>
      <c r="Y93" s="30"/>
      <c r="Z93" s="30"/>
      <c r="AA93" s="30"/>
      <c r="AB93" s="30"/>
      <c r="AC93" s="30"/>
    </row>
    <row r="94" spans="2:36">
      <c r="B94" s="44" t="s">
        <v>548</v>
      </c>
      <c r="C94" s="26"/>
      <c r="D94" s="36">
        <v>0.67708333333333337</v>
      </c>
      <c r="E94" s="36">
        <v>0.67708333333333337</v>
      </c>
      <c r="F94" s="36">
        <v>0.7993055555555556</v>
      </c>
      <c r="G94" s="36">
        <v>0.7993055555555556</v>
      </c>
      <c r="H94" s="30" t="s">
        <v>29</v>
      </c>
      <c r="I94" s="38">
        <v>0.68402777777777779</v>
      </c>
      <c r="J94" s="30" t="s">
        <v>29</v>
      </c>
      <c r="K94" s="31">
        <v>0.79236111111111107</v>
      </c>
      <c r="L94" s="28">
        <v>1050</v>
      </c>
      <c r="M94" s="31">
        <v>0.68819444444444444</v>
      </c>
      <c r="N94" s="38">
        <v>0.78541666666666665</v>
      </c>
      <c r="O94" s="31">
        <v>0.10833333333333334</v>
      </c>
      <c r="P94" s="39">
        <v>34.5</v>
      </c>
      <c r="Q94" s="36">
        <v>0.10833333333333334</v>
      </c>
      <c r="W94" s="30" t="s">
        <v>91</v>
      </c>
      <c r="X94" s="30"/>
      <c r="Y94" s="30"/>
      <c r="Z94" s="30"/>
      <c r="AA94" s="30"/>
      <c r="AB94" s="30"/>
      <c r="AC94" s="30"/>
    </row>
    <row r="95" spans="2:36">
      <c r="B95" s="47" t="s">
        <v>365</v>
      </c>
      <c r="C95" s="46"/>
      <c r="D95" s="31" t="str">
        <f ca="1">IF($A$4="平日","6:25","6:47")</f>
        <v>6:25</v>
      </c>
      <c r="E95" s="31" t="str">
        <f ca="1">IF($A$4="平日","6:25","6:47")</f>
        <v>6:25</v>
      </c>
      <c r="F95" s="31" t="str">
        <f ca="1">IF($A$4="平日","19:11","15:08")</f>
        <v>19:11</v>
      </c>
      <c r="G95" s="31" t="str">
        <f ca="1">IF($A$4="平日","19:11","15:08")</f>
        <v>19:11</v>
      </c>
      <c r="H95" s="30" t="s">
        <v>29</v>
      </c>
      <c r="I95" s="31" t="str">
        <f ca="1">IF($A$4="平日","6:40","7:02")</f>
        <v>6:40</v>
      </c>
      <c r="J95" s="30" t="s">
        <v>29</v>
      </c>
      <c r="K95" s="31" t="str">
        <f ca="1">IF($A$4="平日","19:01","14:58")</f>
        <v>19:01</v>
      </c>
      <c r="L95" s="30" t="str">
        <f ca="1">IF($A$4="平日","507","507     1066")</f>
        <v>507</v>
      </c>
      <c r="M95" s="31" t="str">
        <f ca="1">IF($A$4="平日","6:53","7:35")</f>
        <v>6:53</v>
      </c>
      <c r="N95" s="31" t="str">
        <f ca="1">IF($A$4="平日","18:51","14:58")</f>
        <v>18:51</v>
      </c>
      <c r="O95" s="31" t="str">
        <f ca="1">IF($A$4="平日","8:42","4:36")</f>
        <v>8:42</v>
      </c>
      <c r="P95" s="40">
        <f ca="1">IF($A$4="平日",111.6,73.9)</f>
        <v>111.6</v>
      </c>
      <c r="Q95" s="31" t="str">
        <f ca="1">IF($A$4="平日","9:04","5:12")</f>
        <v>9:04</v>
      </c>
      <c r="R95" s="39">
        <v>51.2</v>
      </c>
      <c r="W95" s="30" t="s">
        <v>91</v>
      </c>
      <c r="X95" s="30"/>
      <c r="Y95" s="30"/>
      <c r="Z95" s="30"/>
      <c r="AA95" s="30"/>
      <c r="AB95" s="30"/>
      <c r="AC95" s="30"/>
    </row>
    <row r="96" spans="2:36">
      <c r="R96" s="44"/>
      <c r="W96" s="30"/>
      <c r="X96" s="30"/>
      <c r="Y96" s="30"/>
      <c r="Z96" s="30"/>
      <c r="AA96" s="30"/>
      <c r="AB96" s="30"/>
      <c r="AC96" s="30"/>
    </row>
    <row r="97" spans="2:29">
      <c r="B97" s="44" t="s">
        <v>366</v>
      </c>
      <c r="C97" s="46"/>
      <c r="D97" s="31" t="str">
        <f ca="1">IF($A$4="平日","6:07","9:22")</f>
        <v>6:07</v>
      </c>
      <c r="E97" s="31" t="str">
        <f ca="1">IF($A$4="平日","6:07","9:22")</f>
        <v>6:07</v>
      </c>
      <c r="F97" s="31" t="str">
        <f ca="1">IF($A$4="平日","18:49","18:49")</f>
        <v>18:49</v>
      </c>
      <c r="G97" s="31" t="str">
        <f ca="1">IF($A$4="平日","18:49","18:49")</f>
        <v>18:49</v>
      </c>
      <c r="H97" s="30" t="s">
        <v>29</v>
      </c>
      <c r="I97" s="31" t="str">
        <f ca="1">IF($A$4="平日","6:22","9:37")</f>
        <v>6:22</v>
      </c>
      <c r="J97" s="30" t="s">
        <v>29</v>
      </c>
      <c r="K97" s="38" t="str">
        <f ca="1">IF($A$4="平日","18:39","18:39")</f>
        <v>18:39</v>
      </c>
      <c r="L97" s="30" t="str">
        <f ca="1">IF($A$4="平日","507","462")</f>
        <v>507</v>
      </c>
      <c r="M97" s="31" t="str">
        <f ca="1">IF($A$4="平日","6:55","10:00")</f>
        <v>6:55</v>
      </c>
      <c r="N97" s="31" t="str">
        <f ca="1">IF($A$4="平日","19:45","18:19")</f>
        <v>19:45</v>
      </c>
      <c r="O97" s="31" t="str">
        <f ca="1">IF($A$4="平日","7:48","5:42")</f>
        <v>7:48</v>
      </c>
      <c r="P97" s="40">
        <f ca="1">IF($A$4="平日",163.6,133.2)</f>
        <v>163.6</v>
      </c>
      <c r="Q97" s="31" t="str">
        <f ca="1">IF($A$4="平日","8:43","6:37")</f>
        <v>8:43</v>
      </c>
      <c r="W97" s="30" t="s">
        <v>91</v>
      </c>
      <c r="X97" s="30"/>
      <c r="Y97" s="30"/>
      <c r="Z97" s="30"/>
      <c r="AA97" s="30"/>
      <c r="AB97" s="30"/>
      <c r="AC97" s="30"/>
    </row>
    <row r="98" spans="2:29">
      <c r="B98" s="44" t="s">
        <v>232</v>
      </c>
      <c r="C98" s="45"/>
      <c r="D98" s="36">
        <v>0.28263888888888888</v>
      </c>
      <c r="E98" s="36">
        <v>0.28263888888888888</v>
      </c>
      <c r="F98" s="36">
        <v>0.42708333333333331</v>
      </c>
      <c r="G98" s="36">
        <v>0.42708333333333331</v>
      </c>
      <c r="H98" s="30" t="s">
        <v>29</v>
      </c>
      <c r="I98" s="38">
        <v>0.29305555555555557</v>
      </c>
      <c r="J98" s="30" t="s">
        <v>29</v>
      </c>
      <c r="K98" s="38">
        <v>0.4201388888888889</v>
      </c>
      <c r="L98" s="29" t="s">
        <v>221</v>
      </c>
      <c r="M98" s="31">
        <v>0.30208333333333331</v>
      </c>
      <c r="N98" s="38">
        <v>0.41319444444444442</v>
      </c>
      <c r="O98" s="31">
        <v>0.12222222222222223</v>
      </c>
      <c r="P98" s="39">
        <v>36.6</v>
      </c>
      <c r="Q98" s="36">
        <v>0.12708333333333333</v>
      </c>
      <c r="W98" s="30" t="s">
        <v>91</v>
      </c>
      <c r="X98" s="30"/>
      <c r="Y98" s="30"/>
      <c r="Z98" s="30"/>
      <c r="AA98" s="30"/>
      <c r="AB98" s="30"/>
      <c r="AC98" s="30"/>
    </row>
    <row r="99" spans="2:29">
      <c r="B99" s="44" t="s">
        <v>465</v>
      </c>
      <c r="C99" s="45"/>
      <c r="D99" s="36">
        <v>0.45555555555555555</v>
      </c>
      <c r="E99" s="36">
        <v>0.45555555555555555</v>
      </c>
      <c r="F99" s="36">
        <v>0.54513888888888895</v>
      </c>
      <c r="G99" s="36">
        <v>0.54513888888888895</v>
      </c>
      <c r="H99" s="30" t="s">
        <v>29</v>
      </c>
      <c r="I99" s="38">
        <v>0.46597222222222223</v>
      </c>
      <c r="J99" s="30" t="s">
        <v>29</v>
      </c>
      <c r="K99" s="38">
        <v>0.53819444444444442</v>
      </c>
      <c r="L99" s="29" t="s">
        <v>220</v>
      </c>
      <c r="M99" s="31">
        <v>0.4826388888888889</v>
      </c>
      <c r="N99" s="38">
        <v>0.53125</v>
      </c>
      <c r="O99" s="31">
        <v>6.458333333333334E-2</v>
      </c>
      <c r="P99" s="39">
        <v>21.6</v>
      </c>
      <c r="Q99" s="36">
        <v>6.5972222222222224E-2</v>
      </c>
      <c r="W99" s="30" t="s">
        <v>91</v>
      </c>
      <c r="X99" s="30"/>
      <c r="Y99" s="30"/>
      <c r="Z99" s="30"/>
      <c r="AA99" s="30"/>
      <c r="AB99" s="30"/>
      <c r="AC99" s="30"/>
    </row>
    <row r="100" spans="2:29">
      <c r="B100" s="44" t="s">
        <v>233</v>
      </c>
      <c r="C100" s="45"/>
      <c r="D100" s="36">
        <v>0.58680555555555558</v>
      </c>
      <c r="E100" s="36">
        <v>0.58680555555555558</v>
      </c>
      <c r="F100" s="36">
        <v>0.66666666666666663</v>
      </c>
      <c r="G100" s="36">
        <v>0.66666666666666663</v>
      </c>
      <c r="H100" s="30" t="s">
        <v>29</v>
      </c>
      <c r="I100" s="38">
        <v>0.59375</v>
      </c>
      <c r="J100" s="30" t="s">
        <v>29</v>
      </c>
      <c r="K100" s="38">
        <v>0.65972222222222221</v>
      </c>
      <c r="L100" s="29" t="s">
        <v>540</v>
      </c>
      <c r="M100" s="31">
        <v>0.60416666666666663</v>
      </c>
      <c r="N100" s="38">
        <v>0.65277777777777779</v>
      </c>
      <c r="O100" s="31">
        <v>6.458333333333334E-2</v>
      </c>
      <c r="P100" s="39">
        <v>21.5</v>
      </c>
      <c r="Q100" s="36">
        <v>6.5972222222222224E-2</v>
      </c>
      <c r="W100" s="30" t="s">
        <v>91</v>
      </c>
      <c r="X100" s="30"/>
      <c r="Y100" s="30"/>
      <c r="Z100" s="30"/>
      <c r="AA100" s="30"/>
      <c r="AB100" s="30"/>
      <c r="AC100" s="30"/>
    </row>
    <row r="101" spans="2:29">
      <c r="B101" s="44" t="s">
        <v>234</v>
      </c>
      <c r="C101" s="45"/>
      <c r="D101" s="36">
        <v>0.69444444444444442</v>
      </c>
      <c r="E101" s="36">
        <v>0.69444444444444442</v>
      </c>
      <c r="F101" s="36">
        <v>0.8354166666666667</v>
      </c>
      <c r="G101" s="36">
        <v>0.8354166666666667</v>
      </c>
      <c r="H101" s="30" t="s">
        <v>29</v>
      </c>
      <c r="I101" s="38">
        <v>0.70138888888888884</v>
      </c>
      <c r="J101" s="30" t="s">
        <v>29</v>
      </c>
      <c r="K101" s="38">
        <v>0.82847222222222217</v>
      </c>
      <c r="L101" s="29" t="s">
        <v>540</v>
      </c>
      <c r="M101" s="31">
        <v>0.71180555555555547</v>
      </c>
      <c r="N101" s="38">
        <v>0.82291666666666663</v>
      </c>
      <c r="O101" s="31">
        <v>0.12222222222222222</v>
      </c>
      <c r="P101" s="39">
        <v>36.4</v>
      </c>
      <c r="Q101" s="36">
        <v>0.12847222222222221</v>
      </c>
      <c r="W101" s="30" t="s">
        <v>91</v>
      </c>
      <c r="X101" s="30"/>
      <c r="Y101" s="30"/>
      <c r="Z101" s="30"/>
      <c r="AA101" s="30"/>
      <c r="AB101" s="30"/>
      <c r="AC101" s="30"/>
    </row>
    <row r="102" spans="2:29">
      <c r="B102" s="44" t="s">
        <v>466</v>
      </c>
      <c r="C102" s="45"/>
      <c r="D102" s="36">
        <v>0.45555555555555555</v>
      </c>
      <c r="E102" s="36">
        <v>0.45555555555555555</v>
      </c>
      <c r="F102" s="36">
        <v>0.54513888888888895</v>
      </c>
      <c r="G102" s="36">
        <v>0.54513888888888895</v>
      </c>
      <c r="H102" s="30" t="s">
        <v>29</v>
      </c>
      <c r="I102" s="38">
        <v>0.46597222222222223</v>
      </c>
      <c r="J102" s="30" t="s">
        <v>29</v>
      </c>
      <c r="K102" s="38">
        <v>0.53819444444444442</v>
      </c>
      <c r="L102" s="29" t="s">
        <v>220</v>
      </c>
      <c r="M102" s="31">
        <v>0.4826388888888889</v>
      </c>
      <c r="N102" s="38">
        <v>0.53125</v>
      </c>
      <c r="O102" s="31">
        <v>5.0694444444444452E-2</v>
      </c>
      <c r="P102" s="39">
        <v>15</v>
      </c>
      <c r="Q102" s="36">
        <v>7.2222222222222215E-2</v>
      </c>
      <c r="W102" s="30" t="s">
        <v>91</v>
      </c>
      <c r="X102" s="30"/>
      <c r="Y102" s="30"/>
      <c r="Z102" s="30"/>
      <c r="AA102" s="30"/>
      <c r="AB102" s="30"/>
      <c r="AC102" s="30"/>
    </row>
    <row r="103" spans="2:29">
      <c r="B103" s="44" t="s">
        <v>467</v>
      </c>
      <c r="C103" s="45"/>
      <c r="D103" s="36">
        <v>0.5625</v>
      </c>
      <c r="E103" s="36">
        <v>0.5625</v>
      </c>
      <c r="F103" s="36">
        <v>0.64236111111111116</v>
      </c>
      <c r="G103" s="36">
        <v>0.64236111111111116</v>
      </c>
      <c r="H103" s="30" t="s">
        <v>29</v>
      </c>
      <c r="I103" s="38">
        <v>0.56944444444444442</v>
      </c>
      <c r="J103" s="30" t="s">
        <v>29</v>
      </c>
      <c r="K103" s="38">
        <v>0.63541666666666663</v>
      </c>
      <c r="L103" s="29" t="s">
        <v>468</v>
      </c>
      <c r="M103" s="31">
        <v>0.57986111111111116</v>
      </c>
      <c r="N103" s="38">
        <v>0.58680555555555558</v>
      </c>
      <c r="O103" s="31">
        <v>5.0694444444444445E-2</v>
      </c>
      <c r="P103" s="39">
        <v>14.9</v>
      </c>
      <c r="Q103" s="36">
        <v>5.2083333333333336E-2</v>
      </c>
      <c r="W103" s="30" t="s">
        <v>91</v>
      </c>
      <c r="X103" s="30"/>
      <c r="Y103" s="30"/>
      <c r="Z103" s="30"/>
      <c r="AA103" s="30"/>
      <c r="AB103" s="30"/>
      <c r="AC103" s="30"/>
    </row>
    <row r="104" spans="2:29">
      <c r="B104" s="44" t="s">
        <v>469</v>
      </c>
      <c r="C104" s="45"/>
      <c r="D104" s="36">
        <v>0.64236111111111116</v>
      </c>
      <c r="E104" s="36">
        <v>0.64236111111111116</v>
      </c>
      <c r="F104" s="36">
        <v>0.71875</v>
      </c>
      <c r="G104" s="36">
        <v>0.71875</v>
      </c>
      <c r="H104" s="30" t="s">
        <v>29</v>
      </c>
      <c r="I104" s="38">
        <v>0.64930555555555558</v>
      </c>
      <c r="J104" s="30" t="s">
        <v>29</v>
      </c>
      <c r="K104" s="38">
        <v>0.71180555555555558</v>
      </c>
      <c r="L104" s="29" t="s">
        <v>540</v>
      </c>
      <c r="M104" s="31">
        <v>0.65625</v>
      </c>
      <c r="N104" s="38">
        <v>0.70486111111111116</v>
      </c>
      <c r="O104" s="31">
        <v>5.0694444444444445E-2</v>
      </c>
      <c r="P104" s="39">
        <v>14.9</v>
      </c>
      <c r="Q104" s="36">
        <v>5.2083333333333336E-2</v>
      </c>
      <c r="W104" s="30" t="s">
        <v>91</v>
      </c>
      <c r="X104" s="30"/>
      <c r="Y104" s="30"/>
      <c r="Z104" s="30"/>
      <c r="AA104" s="30"/>
      <c r="AB104" s="30"/>
      <c r="AC104" s="30"/>
    </row>
    <row r="105" spans="2:29">
      <c r="B105" s="44" t="s">
        <v>470</v>
      </c>
      <c r="C105" s="45"/>
      <c r="D105" s="36">
        <v>0.76041666666666663</v>
      </c>
      <c r="E105" s="36">
        <v>0.76041666666666663</v>
      </c>
      <c r="F105" s="36">
        <v>0.84375</v>
      </c>
      <c r="G105" s="36">
        <v>0.84375</v>
      </c>
      <c r="H105" s="30" t="s">
        <v>29</v>
      </c>
      <c r="I105" s="38">
        <v>0.76736111111111116</v>
      </c>
      <c r="J105" s="30" t="s">
        <v>29</v>
      </c>
      <c r="K105" s="38">
        <v>0.83680555555555558</v>
      </c>
      <c r="L105" s="29" t="s">
        <v>541</v>
      </c>
      <c r="M105" s="31">
        <v>0.77777777777777779</v>
      </c>
      <c r="N105" s="38">
        <v>0.82986111111111116</v>
      </c>
      <c r="O105" s="31">
        <v>6.1111111111111109E-2</v>
      </c>
      <c r="P105" s="39">
        <v>18.3</v>
      </c>
      <c r="Q105" s="36">
        <v>6.25E-2</v>
      </c>
      <c r="W105" s="30" t="s">
        <v>91</v>
      </c>
      <c r="X105" s="30"/>
      <c r="Y105" s="30"/>
      <c r="Z105" s="30"/>
      <c r="AA105" s="30"/>
      <c r="AB105" s="30"/>
      <c r="AC105" s="30"/>
    </row>
    <row r="106" spans="2:29">
      <c r="B106" s="44" t="s">
        <v>367</v>
      </c>
      <c r="C106" s="46"/>
      <c r="D106" s="31" t="str">
        <f ca="1">IF($A$4="平日","6:47","10:56")</f>
        <v>6:47</v>
      </c>
      <c r="E106" s="31" t="str">
        <f ca="1">IF($A$4="平日","6:47","10:56")</f>
        <v>6:47</v>
      </c>
      <c r="F106" s="31" t="str">
        <f ca="1">IF($A$4="平日","20:03","20:15")</f>
        <v>20:03</v>
      </c>
      <c r="G106" s="31" t="str">
        <f ca="1">IF($A$4="平日","20:03","20:15")</f>
        <v>20:03</v>
      </c>
      <c r="H106" s="30" t="s">
        <v>29</v>
      </c>
      <c r="I106" s="31" t="str">
        <f ca="1">IF($A$4="平日","7:02","11:11")</f>
        <v>7:02</v>
      </c>
      <c r="J106" s="30" t="s">
        <v>29</v>
      </c>
      <c r="K106" s="38" t="str">
        <f ca="1">IF($A$4="平日","19:53","20:05")</f>
        <v>19:53</v>
      </c>
      <c r="L106" s="30" t="str">
        <f ca="1">IF($A$4="平日","1028    1038    1065","1038     1037     1065 1031")</f>
        <v>1028    1038    1065</v>
      </c>
      <c r="M106" s="31" t="str">
        <f ca="1">IF($A$4="平日","7:15","11:35")</f>
        <v>7:15</v>
      </c>
      <c r="N106" s="31" t="str">
        <f ca="1">IF($A$4="平日","19:45","19:55")</f>
        <v>19:45</v>
      </c>
      <c r="O106" s="31" t="str">
        <f ca="1">IF($A$4="平日","7:58","5:07")</f>
        <v>7:58</v>
      </c>
      <c r="P106" s="40">
        <f ca="1">IF($A$4="平日",96.3,63.1)</f>
        <v>96.3</v>
      </c>
      <c r="Q106" s="31" t="str">
        <f ca="1">IF($A$4="平日","9:25","6:04")</f>
        <v>9:25</v>
      </c>
      <c r="W106" s="30" t="s">
        <v>91</v>
      </c>
      <c r="X106" s="30"/>
      <c r="Y106" s="30"/>
      <c r="Z106" s="30"/>
      <c r="AA106" s="30"/>
      <c r="AB106" s="30"/>
      <c r="AC106" s="30"/>
    </row>
    <row r="107" spans="2:29">
      <c r="B107" s="47" t="s">
        <v>368</v>
      </c>
      <c r="C107" s="46"/>
      <c r="D107" s="31" t="str">
        <f ca="1">IF($A$4="平日","6:27","8:53")</f>
        <v>6:27</v>
      </c>
      <c r="E107" s="31" t="str">
        <f ca="1">IF($A$4="平日","6:27","8:53")</f>
        <v>6:27</v>
      </c>
      <c r="F107" s="31" t="str">
        <f ca="1">IF($A$4="平日","20:18","17:39")</f>
        <v>20:18</v>
      </c>
      <c r="G107" s="31" t="str">
        <f ca="1">IF($A$4="平日","20:18","17:39")</f>
        <v>20:18</v>
      </c>
      <c r="H107" s="30" t="s">
        <v>29</v>
      </c>
      <c r="I107" s="31" t="str">
        <f ca="1">IF($A$4="平日","6:42","9:08")</f>
        <v>6:42</v>
      </c>
      <c r="J107" s="30" t="s">
        <v>29</v>
      </c>
      <c r="K107" s="31" t="str">
        <f ca="1">IF($A$4="平日","20:08","17:29")</f>
        <v>20:08</v>
      </c>
      <c r="L107" s="30" t="str">
        <f ca="1">IF($A$4="平日","1066","1058")</f>
        <v>1066</v>
      </c>
      <c r="M107" s="31" t="str">
        <f ca="1">IF($A$4="平日","7:15","9:29")</f>
        <v>7:15</v>
      </c>
      <c r="N107" s="31" t="str">
        <f ca="1">IF($A$4="平日","20:08","17:29")</f>
        <v>20:08</v>
      </c>
      <c r="O107" s="31" t="str">
        <f ca="1">IF($A$4="平日","7:13","4:42")</f>
        <v>7:13</v>
      </c>
      <c r="P107" s="39">
        <f ca="1">IF($A$4="平日",115.3,68.8)</f>
        <v>115.3</v>
      </c>
      <c r="Q107" s="31" t="str">
        <f ca="1">IF($A$4="平日","7:55","5:07")</f>
        <v>7:55</v>
      </c>
      <c r="R107" s="28"/>
      <c r="S107" s="28"/>
      <c r="T107" s="28"/>
      <c r="W107" s="30" t="s">
        <v>91</v>
      </c>
      <c r="X107" s="30"/>
      <c r="Y107" s="30"/>
      <c r="Z107" s="30"/>
      <c r="AA107" s="30"/>
      <c r="AB107" s="30"/>
      <c r="AC107" s="30"/>
    </row>
    <row r="108" spans="2:29">
      <c r="B108" s="47" t="s">
        <v>553</v>
      </c>
      <c r="C108" s="47"/>
      <c r="D108" s="36">
        <v>0.29097222222222224</v>
      </c>
      <c r="E108" s="36">
        <v>0.29097222222222224</v>
      </c>
      <c r="F108" s="36">
        <v>0.3840277777777778</v>
      </c>
      <c r="G108" s="36">
        <v>0.3840277777777778</v>
      </c>
      <c r="H108" s="30" t="s">
        <v>29</v>
      </c>
      <c r="I108" s="38">
        <v>0.30138888888888887</v>
      </c>
      <c r="J108" s="30" t="s">
        <v>29</v>
      </c>
      <c r="K108" s="38">
        <v>0.37708333333333333</v>
      </c>
      <c r="L108" s="29" t="s">
        <v>53</v>
      </c>
      <c r="M108" s="31">
        <v>0.31041666666666667</v>
      </c>
      <c r="N108" s="38">
        <v>0.375</v>
      </c>
      <c r="O108" s="31">
        <v>7.5694444444444439E-2</v>
      </c>
      <c r="P108" s="39">
        <v>23.5</v>
      </c>
      <c r="Q108" s="36">
        <v>7.5694444444444439E-2</v>
      </c>
      <c r="W108" s="30" t="s">
        <v>91</v>
      </c>
      <c r="X108" s="30"/>
      <c r="Y108" s="30"/>
      <c r="Z108" s="30"/>
      <c r="AA108" s="30"/>
      <c r="AB108" s="30"/>
      <c r="AC108" s="30"/>
    </row>
    <row r="109" spans="2:29">
      <c r="B109" s="47" t="s">
        <v>549</v>
      </c>
      <c r="C109" s="26"/>
      <c r="D109" s="36">
        <v>0.51041666666666663</v>
      </c>
      <c r="E109" s="36">
        <v>0.51041666666666663</v>
      </c>
      <c r="F109" s="36">
        <v>0.66180555555555554</v>
      </c>
      <c r="G109" s="36">
        <v>0.66180555555555554</v>
      </c>
      <c r="H109" s="30" t="s">
        <v>29</v>
      </c>
      <c r="I109" s="38">
        <v>0.51736111111111116</v>
      </c>
      <c r="J109" s="30" t="s">
        <v>29</v>
      </c>
      <c r="K109" s="38">
        <v>0.65486111111111112</v>
      </c>
      <c r="L109" s="29" t="s">
        <v>551</v>
      </c>
      <c r="M109" s="31">
        <v>0.52152777777777781</v>
      </c>
      <c r="N109" s="38">
        <v>0.65277777777777779</v>
      </c>
      <c r="O109" s="31">
        <v>0.11944444444444445</v>
      </c>
      <c r="P109" s="39">
        <v>37.200000000000003</v>
      </c>
      <c r="Q109" s="36">
        <v>0.11944444444444445</v>
      </c>
      <c r="S109" s="28"/>
      <c r="T109" s="28"/>
      <c r="U109" s="28"/>
      <c r="V109" s="28"/>
      <c r="W109" s="30" t="s">
        <v>91</v>
      </c>
      <c r="X109" s="30"/>
      <c r="Y109" s="30"/>
      <c r="Z109" s="30"/>
      <c r="AA109" s="30"/>
      <c r="AB109" s="30"/>
      <c r="AC109" s="30"/>
    </row>
    <row r="110" spans="2:29">
      <c r="B110" s="47" t="s">
        <v>550</v>
      </c>
      <c r="C110" s="47"/>
      <c r="D110" s="36">
        <v>0.69930555555555551</v>
      </c>
      <c r="E110" s="36">
        <v>0.69930555555555551</v>
      </c>
      <c r="F110" s="36">
        <v>0.84375</v>
      </c>
      <c r="G110" s="36">
        <v>0.84375</v>
      </c>
      <c r="H110" s="30" t="s">
        <v>29</v>
      </c>
      <c r="I110" s="38">
        <v>0.70625000000000004</v>
      </c>
      <c r="J110" s="30" t="s">
        <v>29</v>
      </c>
      <c r="K110" s="38">
        <v>0.83680555555555558</v>
      </c>
      <c r="L110" s="29" t="s">
        <v>552</v>
      </c>
      <c r="M110" s="31">
        <v>0.7104166666666667</v>
      </c>
      <c r="N110" s="38">
        <v>0.82986111111111116</v>
      </c>
      <c r="O110" s="31">
        <v>0.13055555555555556</v>
      </c>
      <c r="P110" s="39">
        <v>39.799999999999997</v>
      </c>
      <c r="Q110" s="36">
        <v>0.13055555555555556</v>
      </c>
      <c r="S110" s="28"/>
      <c r="T110" s="28"/>
      <c r="U110" s="28"/>
      <c r="V110" s="28"/>
      <c r="W110" s="30" t="s">
        <v>91</v>
      </c>
      <c r="X110" s="30"/>
      <c r="Y110" s="30"/>
      <c r="Z110" s="30"/>
      <c r="AA110" s="30"/>
      <c r="AB110" s="30"/>
      <c r="AC110" s="30"/>
    </row>
    <row r="111" spans="2:29">
      <c r="B111" s="47" t="s">
        <v>554</v>
      </c>
      <c r="C111" s="47"/>
      <c r="D111" s="36">
        <v>0.31388888888888888</v>
      </c>
      <c r="E111" s="36">
        <v>0.31388888888888888</v>
      </c>
      <c r="F111" s="36">
        <v>0.3840277777777778</v>
      </c>
      <c r="G111" s="36">
        <v>0.3840277777777778</v>
      </c>
      <c r="H111" s="30" t="s">
        <v>29</v>
      </c>
      <c r="I111" s="38">
        <v>0.32430555555555557</v>
      </c>
      <c r="J111" s="30" t="s">
        <v>29</v>
      </c>
      <c r="K111" s="31">
        <v>0.37708333333333333</v>
      </c>
      <c r="L111" s="28" t="s">
        <v>53</v>
      </c>
      <c r="M111" s="31">
        <v>0.33333333333333331</v>
      </c>
      <c r="N111" s="38">
        <v>0.375</v>
      </c>
      <c r="O111" s="31">
        <v>5.9722222222222225E-2</v>
      </c>
      <c r="P111" s="39">
        <v>18.600000000000001</v>
      </c>
      <c r="Q111" s="36">
        <v>5.9722222222222225E-2</v>
      </c>
      <c r="S111" s="28"/>
      <c r="T111" s="28"/>
      <c r="U111" s="28"/>
      <c r="V111" s="28"/>
      <c r="W111" s="30" t="s">
        <v>91</v>
      </c>
      <c r="X111" s="30"/>
      <c r="Y111" s="30"/>
      <c r="Z111" s="30"/>
      <c r="AA111" s="30"/>
      <c r="AB111" s="30"/>
      <c r="AC111" s="30"/>
    </row>
    <row r="112" spans="2:29">
      <c r="B112" s="47" t="s">
        <v>555</v>
      </c>
      <c r="C112" s="47"/>
      <c r="D112" s="36">
        <v>0.39930555555555558</v>
      </c>
      <c r="E112" s="36">
        <v>0.39930555555555558</v>
      </c>
      <c r="F112" s="36">
        <v>0.47291666666666665</v>
      </c>
      <c r="G112" s="36">
        <v>0.47291666666666665</v>
      </c>
      <c r="H112" s="30" t="s">
        <v>29</v>
      </c>
      <c r="I112" s="38">
        <v>0.40625</v>
      </c>
      <c r="J112" s="30" t="s">
        <v>29</v>
      </c>
      <c r="K112" s="31">
        <v>0.46597222222222223</v>
      </c>
      <c r="L112" s="28" t="s">
        <v>443</v>
      </c>
      <c r="M112" s="31">
        <v>0.41041666666666665</v>
      </c>
      <c r="N112" s="38">
        <v>0.46388888888888891</v>
      </c>
      <c r="O112" s="31">
        <v>5.9722222222222225E-2</v>
      </c>
      <c r="P112" s="39">
        <v>18.600000000000001</v>
      </c>
      <c r="Q112" s="36">
        <v>5.9722222222222225E-2</v>
      </c>
      <c r="S112" s="28"/>
      <c r="T112" s="28"/>
      <c r="U112" s="28"/>
      <c r="V112" s="28"/>
      <c r="W112" s="30" t="s">
        <v>91</v>
      </c>
      <c r="X112" s="30"/>
      <c r="Y112" s="30"/>
      <c r="Z112" s="30"/>
      <c r="AA112" s="30"/>
      <c r="AB112" s="30"/>
      <c r="AC112" s="30"/>
    </row>
    <row r="113" spans="2:29">
      <c r="B113" s="47" t="s">
        <v>556</v>
      </c>
      <c r="C113" s="47"/>
      <c r="D113" s="36">
        <v>0.51041666666666663</v>
      </c>
      <c r="E113" s="36">
        <v>0.51041666666666663</v>
      </c>
      <c r="F113" s="36">
        <v>0.58402777777777781</v>
      </c>
      <c r="G113" s="36">
        <v>0.58402777777777781</v>
      </c>
      <c r="H113" s="30" t="s">
        <v>29</v>
      </c>
      <c r="I113" s="38">
        <v>0.51736111111111116</v>
      </c>
      <c r="J113" s="30" t="s">
        <v>29</v>
      </c>
      <c r="K113" s="31">
        <v>0.57708333333333328</v>
      </c>
      <c r="L113" s="28" t="s">
        <v>443</v>
      </c>
      <c r="M113" s="31">
        <v>0.52152777777777781</v>
      </c>
      <c r="N113" s="38">
        <v>0.57499999999999996</v>
      </c>
      <c r="O113" s="31">
        <v>5.9722222222222225E-2</v>
      </c>
      <c r="P113" s="39">
        <v>18.600000000000001</v>
      </c>
      <c r="Q113" s="36">
        <v>5.9722222222222225E-2</v>
      </c>
      <c r="S113" s="28"/>
      <c r="T113" s="28"/>
      <c r="U113" s="28"/>
      <c r="V113" s="28"/>
      <c r="W113" s="30" t="s">
        <v>91</v>
      </c>
      <c r="X113" s="30"/>
      <c r="Y113" s="30"/>
      <c r="Z113" s="30"/>
      <c r="AA113" s="30"/>
      <c r="AB113" s="30"/>
      <c r="AC113" s="30"/>
    </row>
    <row r="114" spans="2:29">
      <c r="B114" s="47" t="s">
        <v>557</v>
      </c>
      <c r="C114" s="47"/>
      <c r="D114" s="36">
        <v>0.58819444444444446</v>
      </c>
      <c r="E114" s="36">
        <v>0.58819444444444446</v>
      </c>
      <c r="F114" s="36">
        <v>0.66180555555555554</v>
      </c>
      <c r="G114" s="36">
        <v>0.66180555555555554</v>
      </c>
      <c r="H114" s="30" t="s">
        <v>29</v>
      </c>
      <c r="I114" s="38">
        <v>0.59513888888888888</v>
      </c>
      <c r="J114" s="30" t="s">
        <v>29</v>
      </c>
      <c r="K114" s="31">
        <v>0.65486111111111112</v>
      </c>
      <c r="L114" s="28" t="s">
        <v>53</v>
      </c>
      <c r="M114" s="31">
        <v>0.59930555555555554</v>
      </c>
      <c r="N114" s="38">
        <v>0.65277777777777779</v>
      </c>
      <c r="O114" s="31">
        <v>5.9722222222222225E-2</v>
      </c>
      <c r="P114" s="39">
        <v>18.600000000000001</v>
      </c>
      <c r="Q114" s="36">
        <v>5.9722222222222225E-2</v>
      </c>
      <c r="S114" s="28"/>
      <c r="T114" s="28"/>
      <c r="U114" s="28"/>
      <c r="V114" s="28"/>
      <c r="W114" s="30" t="s">
        <v>91</v>
      </c>
      <c r="X114" s="30"/>
      <c r="Y114" s="30"/>
      <c r="Z114" s="30"/>
      <c r="AA114" s="30"/>
      <c r="AB114" s="30"/>
      <c r="AC114" s="30"/>
    </row>
    <row r="115" spans="2:29">
      <c r="B115" s="47" t="s">
        <v>369</v>
      </c>
      <c r="C115" s="46"/>
      <c r="D115" s="31" t="str">
        <f ca="1">IF($A$4="平日","6:59","7:32")</f>
        <v>6:59</v>
      </c>
      <c r="E115" s="31" t="str">
        <f ca="1">IF($A$4="平日","6:59","7:32")</f>
        <v>6:59</v>
      </c>
      <c r="F115" s="31" t="str">
        <f ca="1">IF($A$4="平日","20:15","15:53")</f>
        <v>20:15</v>
      </c>
      <c r="G115" s="31" t="str">
        <f ca="1">IF($A$4="平日","20:15","15:53")</f>
        <v>20:15</v>
      </c>
      <c r="H115" s="30" t="s">
        <v>29</v>
      </c>
      <c r="I115" s="31" t="str">
        <f ca="1">IF($A$4="平日","7:14","7:47")</f>
        <v>7:14</v>
      </c>
      <c r="J115" s="30" t="s">
        <v>29</v>
      </c>
      <c r="K115" s="31" t="str">
        <f ca="1">IF($A$4="平日","20:05","15:43")</f>
        <v>20:05</v>
      </c>
      <c r="L115" s="30" t="str">
        <f ca="1">IF($A$4="平日","1588    1060","1588    1060")</f>
        <v>1588    1060</v>
      </c>
      <c r="M115" s="31" t="str">
        <f ca="1">IF($A$4="平日","7:27","8:00")</f>
        <v>7:27</v>
      </c>
      <c r="N115" s="31" t="str">
        <f ca="1">IF($A$4="平日","19:55","15:40")</f>
        <v>19:55</v>
      </c>
      <c r="O115" s="31" t="str">
        <f ca="1">IF($A$4="平日","7:52","5:34")</f>
        <v>7:52</v>
      </c>
      <c r="P115" s="39">
        <f ca="1">IF($A$4="平日",100.5,74)</f>
        <v>100.5</v>
      </c>
      <c r="Q115" s="31" t="str">
        <f ca="1">IF($A$4="平日","8:14","5:59")</f>
        <v>8:14</v>
      </c>
      <c r="W115" s="30" t="s">
        <v>91</v>
      </c>
      <c r="X115" s="30"/>
      <c r="Y115" s="30"/>
      <c r="Z115" s="30"/>
      <c r="AA115" s="30"/>
      <c r="AB115" s="30"/>
      <c r="AC115" s="30"/>
    </row>
    <row r="116" spans="2:29">
      <c r="B116" s="47" t="s">
        <v>644</v>
      </c>
      <c r="C116" s="45"/>
      <c r="D116" s="36">
        <v>0.27847222222222223</v>
      </c>
      <c r="E116" s="36">
        <v>0.27847222222222223</v>
      </c>
      <c r="F116" s="36">
        <v>0.39305555555555555</v>
      </c>
      <c r="G116" s="36">
        <v>0.39305555555555555</v>
      </c>
      <c r="H116" s="30" t="s">
        <v>29</v>
      </c>
      <c r="I116" s="38">
        <v>0.28888888888888886</v>
      </c>
      <c r="J116" s="30" t="s">
        <v>29</v>
      </c>
      <c r="K116" s="38">
        <v>0.38611111111111113</v>
      </c>
      <c r="L116" s="29" t="s">
        <v>128</v>
      </c>
      <c r="M116" s="31">
        <v>0.30486111111111114</v>
      </c>
      <c r="N116" s="38">
        <v>0.38611111111111113</v>
      </c>
      <c r="O116" s="31">
        <v>8.7499999999999994E-2</v>
      </c>
      <c r="P116" s="39">
        <v>35.6</v>
      </c>
      <c r="Q116" s="36">
        <v>9.7222222222222224E-2</v>
      </c>
      <c r="W116" s="30" t="s">
        <v>91</v>
      </c>
      <c r="X116" s="30"/>
      <c r="Y116" s="30"/>
      <c r="Z116" s="30"/>
      <c r="AA116" s="30"/>
      <c r="AB116" s="30"/>
      <c r="AC116" s="30"/>
    </row>
    <row r="117" spans="2:29">
      <c r="B117" s="47" t="s">
        <v>645</v>
      </c>
      <c r="C117" s="45"/>
      <c r="D117" s="36">
        <v>0.41736111111111113</v>
      </c>
      <c r="E117" s="36">
        <v>0.41736111111111113</v>
      </c>
      <c r="F117" s="36">
        <v>0.52013888888888893</v>
      </c>
      <c r="G117" s="36">
        <v>0.52013888888888893</v>
      </c>
      <c r="H117" s="30" t="s">
        <v>29</v>
      </c>
      <c r="I117" s="38">
        <v>0.42430555555555555</v>
      </c>
      <c r="J117" s="30" t="s">
        <v>29</v>
      </c>
      <c r="K117" s="38">
        <v>0.5131944444444444</v>
      </c>
      <c r="L117" s="29" t="s">
        <v>128</v>
      </c>
      <c r="M117" s="31">
        <v>0.44027777777777777</v>
      </c>
      <c r="N117" s="38">
        <v>0.49930555555555556</v>
      </c>
      <c r="O117" s="31">
        <v>7.9166666666666663E-2</v>
      </c>
      <c r="P117" s="39">
        <v>35.6</v>
      </c>
      <c r="Q117" s="36">
        <v>8.8888888888888892E-2</v>
      </c>
      <c r="W117" s="30" t="s">
        <v>91</v>
      </c>
      <c r="X117" s="30"/>
      <c r="Y117" s="30"/>
      <c r="Z117" s="30"/>
      <c r="AA117" s="30"/>
      <c r="AB117" s="30"/>
      <c r="AC117" s="30"/>
    </row>
    <row r="118" spans="2:29">
      <c r="B118" s="47" t="s">
        <v>646</v>
      </c>
      <c r="C118" s="45"/>
      <c r="D118" s="36">
        <v>0.65625</v>
      </c>
      <c r="E118" s="36">
        <v>0.65625</v>
      </c>
      <c r="F118" s="36">
        <v>0.82152777777777775</v>
      </c>
      <c r="G118" s="36">
        <v>0.82152777777777775</v>
      </c>
      <c r="H118" s="30" t="s">
        <v>29</v>
      </c>
      <c r="I118" s="38">
        <v>0.66319444444444442</v>
      </c>
      <c r="J118" s="30" t="s">
        <v>29</v>
      </c>
      <c r="K118" s="38">
        <v>0.81458333333333333</v>
      </c>
      <c r="L118" s="29" t="s">
        <v>128</v>
      </c>
      <c r="M118" s="31">
        <v>0.6791666666666667</v>
      </c>
      <c r="N118" s="38">
        <v>0.81458333333333333</v>
      </c>
      <c r="O118" s="31">
        <v>9.2361111111111116E-2</v>
      </c>
      <c r="P118" s="39">
        <v>38.6</v>
      </c>
      <c r="Q118" s="36">
        <v>9.2361111111111116E-2</v>
      </c>
      <c r="W118" s="30" t="s">
        <v>91</v>
      </c>
      <c r="X118" s="30"/>
      <c r="Y118" s="30"/>
      <c r="Z118" s="30"/>
      <c r="AA118" s="30"/>
      <c r="AB118" s="30"/>
      <c r="AC118" s="30"/>
    </row>
    <row r="119" spans="2:29">
      <c r="B119" s="47" t="s">
        <v>647</v>
      </c>
      <c r="C119" s="45"/>
      <c r="D119" s="36">
        <v>0.39513888888888887</v>
      </c>
      <c r="E119" s="36">
        <v>0.39513888888888887</v>
      </c>
      <c r="F119" s="36">
        <v>0.51111111111111107</v>
      </c>
      <c r="G119" s="36">
        <v>0.51111111111111107</v>
      </c>
      <c r="H119" s="30" t="s">
        <v>29</v>
      </c>
      <c r="I119" s="38">
        <v>0.40555555555555556</v>
      </c>
      <c r="J119" s="30" t="s">
        <v>29</v>
      </c>
      <c r="K119" s="38">
        <v>0.50416666666666665</v>
      </c>
      <c r="L119" s="28" t="s">
        <v>302</v>
      </c>
      <c r="M119" s="31">
        <v>0.41458333333333336</v>
      </c>
      <c r="N119" s="38">
        <v>0.50416666666666665</v>
      </c>
      <c r="O119" s="31">
        <v>8.8888888888888892E-2</v>
      </c>
      <c r="P119" s="39">
        <v>37.799999999999997</v>
      </c>
      <c r="Q119" s="36">
        <v>9.8611111111111108E-2</v>
      </c>
      <c r="W119" s="30" t="s">
        <v>91</v>
      </c>
      <c r="X119" s="30"/>
      <c r="Y119" s="30"/>
      <c r="Z119" s="30"/>
      <c r="AA119" s="30"/>
      <c r="AB119" s="30"/>
      <c r="AC119" s="30"/>
    </row>
    <row r="120" spans="2:29">
      <c r="B120" s="47" t="s">
        <v>648</v>
      </c>
      <c r="C120" s="45"/>
      <c r="D120" s="36">
        <v>0.53819444444444442</v>
      </c>
      <c r="E120" s="36">
        <v>0.53819444444444442</v>
      </c>
      <c r="F120" s="36">
        <v>0.6118055555555556</v>
      </c>
      <c r="G120" s="36">
        <v>0.6118055555555556</v>
      </c>
      <c r="H120" s="30" t="s">
        <v>29</v>
      </c>
      <c r="I120" s="38">
        <v>0.54513888888888884</v>
      </c>
      <c r="J120" s="30" t="s">
        <v>29</v>
      </c>
      <c r="K120" s="38">
        <v>0.60486111111111107</v>
      </c>
      <c r="L120" s="28" t="s">
        <v>558</v>
      </c>
      <c r="M120" s="31">
        <v>0.5493055555555556</v>
      </c>
      <c r="N120" s="38">
        <v>0.60277777777777775</v>
      </c>
      <c r="O120" s="31">
        <v>5.9722222222222225E-2</v>
      </c>
      <c r="P120" s="39">
        <v>18.600000000000001</v>
      </c>
      <c r="Q120" s="36">
        <v>5.9722222222222225E-2</v>
      </c>
      <c r="W120" s="30" t="s">
        <v>91</v>
      </c>
      <c r="X120" s="30"/>
      <c r="Y120" s="30"/>
      <c r="Z120" s="30"/>
      <c r="AA120" s="30"/>
      <c r="AB120" s="30"/>
      <c r="AC120" s="30"/>
    </row>
    <row r="121" spans="2:29">
      <c r="B121" s="47" t="s">
        <v>649</v>
      </c>
      <c r="C121" s="45"/>
      <c r="D121" s="36">
        <v>0.62152777777777779</v>
      </c>
      <c r="E121" s="36">
        <v>0.62152777777777779</v>
      </c>
      <c r="F121" s="36">
        <v>0.69513888888888886</v>
      </c>
      <c r="G121" s="36">
        <v>0.69513888888888886</v>
      </c>
      <c r="H121" s="30" t="s">
        <v>29</v>
      </c>
      <c r="I121" s="38">
        <v>0.62847222222222221</v>
      </c>
      <c r="J121" s="30" t="s">
        <v>29</v>
      </c>
      <c r="K121" s="38">
        <v>0.68819444444444444</v>
      </c>
      <c r="L121" s="28" t="s">
        <v>559</v>
      </c>
      <c r="M121" s="31">
        <v>0.63263888888888886</v>
      </c>
      <c r="N121" s="38">
        <v>0.68611111111111112</v>
      </c>
      <c r="O121" s="31">
        <v>5.9722222222222225E-2</v>
      </c>
      <c r="P121" s="39">
        <v>18.600000000000001</v>
      </c>
      <c r="Q121" s="36">
        <v>5.9722222222222225E-2</v>
      </c>
      <c r="W121" s="30" t="s">
        <v>91</v>
      </c>
      <c r="X121" s="30"/>
      <c r="Y121" s="30"/>
      <c r="Z121" s="30"/>
      <c r="AA121" s="30"/>
      <c r="AB121" s="30"/>
      <c r="AC121" s="30"/>
    </row>
    <row r="122" spans="2:29">
      <c r="B122" s="47" t="s">
        <v>650</v>
      </c>
      <c r="C122" s="46"/>
      <c r="D122" s="31" t="str">
        <f ca="1">IF($A$4="平日","6:41","9:29")</f>
        <v>6:41</v>
      </c>
      <c r="E122" s="31" t="str">
        <f ca="1">IF($A$4="平日","6:41","9:29")</f>
        <v>6:41</v>
      </c>
      <c r="F122" s="31" t="str">
        <f ca="1">IF($A$4="平日","19:43","16:41")</f>
        <v>19:43</v>
      </c>
      <c r="G122" s="31" t="str">
        <f ca="1">IF($A$4="平日","19:43","16:41")</f>
        <v>19:43</v>
      </c>
      <c r="H122" s="30" t="s">
        <v>29</v>
      </c>
      <c r="I122" s="31" t="str">
        <f ca="1">IF($A$4="平日","6:56","9:44")</f>
        <v>6:56</v>
      </c>
      <c r="J122" s="30" t="s">
        <v>29</v>
      </c>
      <c r="K122" s="31" t="str">
        <f ca="1">IF($A$4="平日","19:33","16:31")</f>
        <v>19:33</v>
      </c>
      <c r="L122" s="30" t="str">
        <f ca="1">IF($A$4="平日","1027","1077     1061     1060")</f>
        <v>1027</v>
      </c>
      <c r="M122" s="31" t="str">
        <f ca="1">IF($A$4="平日","7:19","9:57")</f>
        <v>7:19</v>
      </c>
      <c r="N122" s="31" t="str">
        <f ca="1">IF($A$4="平日","19:13","16:28")</f>
        <v>19:13</v>
      </c>
      <c r="O122" s="31" t="str">
        <f ca="1">IF($A$4="平日","4:53","5:00")</f>
        <v>4:53</v>
      </c>
      <c r="P122" s="39">
        <f ca="1">IF($A$4="平日",85.8,75)</f>
        <v>85.8</v>
      </c>
      <c r="Q122" s="31" t="str">
        <f ca="1">IF($A$4="平日","5:46","5:39")</f>
        <v>5:46</v>
      </c>
      <c r="R122" s="39">
        <f ca="1">IF($A$4="平日",100.5,74)</f>
        <v>100.5</v>
      </c>
      <c r="W122" s="30" t="s">
        <v>91</v>
      </c>
      <c r="X122" s="30"/>
      <c r="Y122" s="30"/>
      <c r="Z122" s="30"/>
      <c r="AA122" s="30"/>
      <c r="AB122" s="30"/>
      <c r="AC122" s="30"/>
    </row>
    <row r="123" spans="2:29">
      <c r="B123" s="47"/>
      <c r="C123" s="45"/>
      <c r="H123" s="30"/>
      <c r="I123" s="38"/>
      <c r="J123" s="30"/>
      <c r="K123" s="38"/>
      <c r="L123" s="29"/>
      <c r="M123" s="31"/>
      <c r="N123" s="38"/>
      <c r="O123" s="31"/>
      <c r="P123" s="39"/>
      <c r="Q123" s="36"/>
      <c r="W123" s="30"/>
      <c r="X123" s="30"/>
      <c r="Y123" s="30"/>
      <c r="Z123" s="30"/>
      <c r="AA123" s="30"/>
      <c r="AB123" s="30"/>
      <c r="AC123" s="30"/>
    </row>
    <row r="124" spans="2:29">
      <c r="B124" s="47" t="s">
        <v>471</v>
      </c>
      <c r="C124" s="45"/>
      <c r="D124" s="36">
        <v>0.31736111111111109</v>
      </c>
      <c r="E124" s="36">
        <v>0.31736111111111109</v>
      </c>
      <c r="F124" s="36">
        <v>0.4284722222222222</v>
      </c>
      <c r="G124" s="36">
        <v>0.4284722222222222</v>
      </c>
      <c r="H124" s="30" t="s">
        <v>29</v>
      </c>
      <c r="I124" s="38">
        <v>0.32777777777777778</v>
      </c>
      <c r="J124" s="30" t="s">
        <v>29</v>
      </c>
      <c r="K124" s="38">
        <v>0.42152777777777778</v>
      </c>
      <c r="L124" s="29" t="s">
        <v>55</v>
      </c>
      <c r="M124" s="31">
        <v>0.33680555555555558</v>
      </c>
      <c r="N124" s="38">
        <v>0.41458333333333336</v>
      </c>
      <c r="O124" s="31">
        <v>8.4027777777777785E-2</v>
      </c>
      <c r="P124" s="39">
        <v>30.8</v>
      </c>
      <c r="Q124" s="36">
        <v>9.375E-2</v>
      </c>
      <c r="W124" s="30" t="s">
        <v>91</v>
      </c>
      <c r="X124" s="30"/>
      <c r="Y124" s="30"/>
      <c r="Z124" s="30"/>
      <c r="AA124" s="30"/>
      <c r="AB124" s="30"/>
      <c r="AC124" s="30"/>
    </row>
    <row r="125" spans="2:29">
      <c r="B125" s="47" t="s">
        <v>472</v>
      </c>
      <c r="C125" s="47"/>
      <c r="D125" s="36">
        <v>0.47708333333333336</v>
      </c>
      <c r="E125" s="36">
        <v>0.47708333333333336</v>
      </c>
      <c r="F125" s="36">
        <v>0.56805555555555554</v>
      </c>
      <c r="G125" s="36">
        <v>0.56805555555555554</v>
      </c>
      <c r="H125" s="30" t="s">
        <v>29</v>
      </c>
      <c r="I125" s="38">
        <v>0.48402777777777778</v>
      </c>
      <c r="J125" s="30" t="s">
        <v>29</v>
      </c>
      <c r="K125" s="38">
        <v>0.56111111111111112</v>
      </c>
      <c r="L125" s="28" t="s">
        <v>55</v>
      </c>
      <c r="M125" s="31">
        <v>0.48819444444444443</v>
      </c>
      <c r="N125" s="38">
        <v>0.5541666666666667</v>
      </c>
      <c r="O125" s="31">
        <v>6.7361111111111108E-2</v>
      </c>
      <c r="P125" s="39">
        <v>30.6</v>
      </c>
      <c r="Q125" s="36">
        <v>7.2222222222222215E-2</v>
      </c>
      <c r="W125" s="30" t="s">
        <v>91</v>
      </c>
      <c r="X125" s="30"/>
      <c r="Y125" s="30"/>
      <c r="Z125" s="30"/>
      <c r="AA125" s="30"/>
      <c r="AB125" s="30"/>
      <c r="AC125" s="30"/>
    </row>
    <row r="126" spans="2:29">
      <c r="B126" s="47" t="s">
        <v>473</v>
      </c>
      <c r="C126" s="45"/>
      <c r="D126" s="36">
        <v>0.58611111111111114</v>
      </c>
      <c r="E126" s="36">
        <v>0.58611111111111114</v>
      </c>
      <c r="F126" s="36">
        <v>0.71388888888888891</v>
      </c>
      <c r="G126" s="36">
        <v>0.71388888888888891</v>
      </c>
      <c r="H126" s="30" t="s">
        <v>29</v>
      </c>
      <c r="I126" s="38">
        <v>0.59305555555555556</v>
      </c>
      <c r="J126" s="30" t="s">
        <v>44</v>
      </c>
      <c r="K126" s="38">
        <v>0.70694444444444449</v>
      </c>
      <c r="L126" s="29" t="s">
        <v>474</v>
      </c>
      <c r="M126" s="31">
        <v>0.6020833333333333</v>
      </c>
      <c r="N126" s="38">
        <v>0.7</v>
      </c>
      <c r="O126" s="31">
        <v>9.375E-2</v>
      </c>
      <c r="P126" s="39">
        <v>36.700000000000003</v>
      </c>
      <c r="Q126" s="36">
        <v>9.375E-2</v>
      </c>
      <c r="W126" s="30" t="s">
        <v>91</v>
      </c>
      <c r="X126" s="30"/>
      <c r="Y126" s="30"/>
      <c r="Z126" s="30"/>
      <c r="AA126" s="30"/>
      <c r="AB126" s="30"/>
      <c r="AC126" s="30"/>
    </row>
    <row r="127" spans="2:29">
      <c r="B127" s="47" t="s">
        <v>475</v>
      </c>
      <c r="C127" s="26"/>
      <c r="D127" s="36">
        <v>0.71319444444444446</v>
      </c>
      <c r="E127" s="36">
        <v>0.71319444444444446</v>
      </c>
      <c r="F127" s="36">
        <v>0.81736111111111109</v>
      </c>
      <c r="G127" s="36">
        <v>0.81736111111111109</v>
      </c>
      <c r="H127" s="30" t="s">
        <v>44</v>
      </c>
      <c r="I127" s="38">
        <v>0.72013888888888888</v>
      </c>
      <c r="J127" s="30" t="s">
        <v>29</v>
      </c>
      <c r="K127" s="38">
        <v>0.81041666666666667</v>
      </c>
      <c r="L127" s="28" t="s">
        <v>474</v>
      </c>
      <c r="M127" s="31">
        <v>0.72916666666666663</v>
      </c>
      <c r="N127" s="38">
        <v>0.80347222222222225</v>
      </c>
      <c r="O127" s="31">
        <v>7.7083333333333337E-2</v>
      </c>
      <c r="P127" s="39">
        <v>28.1</v>
      </c>
      <c r="Q127" s="36">
        <v>8.5416666666666669E-2</v>
      </c>
      <c r="W127" s="30" t="s">
        <v>91</v>
      </c>
      <c r="X127" s="30"/>
      <c r="Y127" s="30"/>
      <c r="Z127" s="30"/>
      <c r="AA127" s="30"/>
      <c r="AB127" s="30"/>
      <c r="AC127" s="30"/>
    </row>
    <row r="128" spans="2:29">
      <c r="B128" s="47" t="s">
        <v>476</v>
      </c>
      <c r="C128" s="26"/>
      <c r="D128" s="36">
        <v>0.84166666666666667</v>
      </c>
      <c r="E128" s="36">
        <v>0.84166666666666667</v>
      </c>
      <c r="F128" s="36">
        <v>0.90347222222222223</v>
      </c>
      <c r="G128" s="36">
        <v>0.90347222222222223</v>
      </c>
      <c r="H128" s="30" t="s">
        <v>29</v>
      </c>
      <c r="I128" s="38">
        <v>0.84861111111111109</v>
      </c>
      <c r="J128" s="30" t="s">
        <v>45</v>
      </c>
      <c r="K128" s="38">
        <v>0.89652777777777781</v>
      </c>
      <c r="L128" s="28" t="s">
        <v>474</v>
      </c>
      <c r="M128" s="31">
        <v>0.85763888888888884</v>
      </c>
      <c r="N128" s="38">
        <v>0.89652777777777781</v>
      </c>
      <c r="O128" s="31">
        <v>4.791666666666667E-2</v>
      </c>
      <c r="P128" s="39">
        <v>21.4</v>
      </c>
      <c r="Q128" s="36">
        <v>4.791666666666667E-2</v>
      </c>
      <c r="W128" s="30" t="s">
        <v>91</v>
      </c>
      <c r="X128" s="30"/>
      <c r="Y128" s="30"/>
      <c r="Z128" s="30"/>
      <c r="AA128" s="30"/>
      <c r="AB128" s="30"/>
      <c r="AC128" s="30"/>
    </row>
    <row r="129" spans="2:29">
      <c r="B129" s="47" t="s">
        <v>477</v>
      </c>
      <c r="C129" s="26"/>
      <c r="D129" s="36">
        <v>0.84166666666666667</v>
      </c>
      <c r="E129" s="36">
        <v>0.84166666666666667</v>
      </c>
      <c r="F129" s="36">
        <v>0.92777777777777781</v>
      </c>
      <c r="G129" s="36">
        <v>0.92777777777777781</v>
      </c>
      <c r="H129" s="30" t="s">
        <v>29</v>
      </c>
      <c r="I129" s="38">
        <v>0.84861111111111109</v>
      </c>
      <c r="J129" s="30" t="s">
        <v>29</v>
      </c>
      <c r="K129" s="38">
        <v>0.92083333333333328</v>
      </c>
      <c r="L129" s="28">
        <v>1088</v>
      </c>
      <c r="M129" s="31">
        <v>0.85763888888888884</v>
      </c>
      <c r="N129" s="38">
        <v>0.92083333333333328</v>
      </c>
      <c r="O129" s="31">
        <v>7.2222222222222215E-2</v>
      </c>
      <c r="P129" s="39">
        <v>36</v>
      </c>
      <c r="Q129" s="36">
        <v>7.2222222222222215E-2</v>
      </c>
      <c r="W129" s="30" t="s">
        <v>91</v>
      </c>
      <c r="X129" s="30"/>
      <c r="Y129" s="30"/>
      <c r="Z129" s="30"/>
      <c r="AA129" s="30"/>
      <c r="AB129" s="30"/>
      <c r="AC129" s="30"/>
    </row>
    <row r="130" spans="2:29">
      <c r="B130" s="47" t="s">
        <v>478</v>
      </c>
      <c r="C130" s="83"/>
      <c r="D130" s="31">
        <v>0.31736111111111109</v>
      </c>
      <c r="E130" s="31">
        <v>0.31736111111111109</v>
      </c>
      <c r="F130" s="36">
        <v>0.92777777777777781</v>
      </c>
      <c r="G130" s="36">
        <v>0.92777777777777781</v>
      </c>
      <c r="H130" s="30" t="s">
        <v>29</v>
      </c>
      <c r="I130" s="38">
        <v>0.32777777777777778</v>
      </c>
      <c r="J130" s="30" t="s">
        <v>29</v>
      </c>
      <c r="K130" s="38">
        <v>0.92083333333333328</v>
      </c>
      <c r="L130" s="15" t="s">
        <v>479</v>
      </c>
      <c r="M130" s="31">
        <v>0.33680555555555558</v>
      </c>
      <c r="N130" s="38">
        <v>0.92083333333333328</v>
      </c>
      <c r="O130" s="31">
        <v>0.39444444444444443</v>
      </c>
      <c r="P130" s="39">
        <v>162</v>
      </c>
      <c r="Q130" s="36">
        <v>0.43472222222222223</v>
      </c>
      <c r="W130" s="30" t="s">
        <v>91</v>
      </c>
      <c r="X130" s="30"/>
      <c r="Y130" s="30"/>
      <c r="Z130" s="30"/>
      <c r="AA130" s="30"/>
      <c r="AB130" s="30"/>
      <c r="AC130" s="30"/>
    </row>
    <row r="131" spans="2:29">
      <c r="B131" s="47" t="s">
        <v>239</v>
      </c>
      <c r="C131" s="46"/>
      <c r="D131" s="31">
        <v>0.31736111111111109</v>
      </c>
      <c r="E131" s="31">
        <v>0.31736111111111109</v>
      </c>
      <c r="F131" s="31">
        <v>0.90347222222222223</v>
      </c>
      <c r="G131" s="31">
        <v>0.90347222222222223</v>
      </c>
      <c r="H131" s="30" t="s">
        <v>29</v>
      </c>
      <c r="I131" s="31">
        <v>0.32777777777777778</v>
      </c>
      <c r="J131" s="30" t="s">
        <v>45</v>
      </c>
      <c r="K131" s="38">
        <v>0.89652777777777781</v>
      </c>
      <c r="L131" s="15" t="s">
        <v>479</v>
      </c>
      <c r="M131" s="31">
        <v>0.33680555555555558</v>
      </c>
      <c r="N131" s="31">
        <v>0.89652777777777781</v>
      </c>
      <c r="O131" s="31">
        <v>0.37013888888888891</v>
      </c>
      <c r="P131" s="40">
        <v>147.4</v>
      </c>
      <c r="Q131" s="31">
        <v>0.41041666666666665</v>
      </c>
      <c r="W131" s="30" t="s">
        <v>91</v>
      </c>
      <c r="X131" s="30"/>
      <c r="Y131" s="30"/>
      <c r="Z131" s="30"/>
      <c r="AA131" s="30"/>
      <c r="AB131" s="30"/>
      <c r="AC131" s="30"/>
    </row>
    <row r="132" spans="2:29">
      <c r="B132" s="47" t="s">
        <v>488</v>
      </c>
      <c r="C132" s="45"/>
      <c r="D132" s="36">
        <v>0.27916666666666667</v>
      </c>
      <c r="E132" s="36">
        <v>0.27916666666666667</v>
      </c>
      <c r="F132" s="36">
        <v>0.35416666666666669</v>
      </c>
      <c r="G132" s="36">
        <v>0.35416666666666669</v>
      </c>
      <c r="H132" s="30" t="s">
        <v>45</v>
      </c>
      <c r="I132" s="38">
        <v>0.28958333333333336</v>
      </c>
      <c r="J132" s="30" t="s">
        <v>29</v>
      </c>
      <c r="K132" s="38">
        <v>0.34722222222222221</v>
      </c>
      <c r="L132" s="29" t="s">
        <v>424</v>
      </c>
      <c r="M132" s="31">
        <v>0.28958333333333336</v>
      </c>
      <c r="N132" s="38">
        <v>0.34027777777777779</v>
      </c>
      <c r="O132" s="31">
        <v>5.7638888888888892E-2</v>
      </c>
      <c r="P132" s="39">
        <v>21.4</v>
      </c>
      <c r="Q132" s="36">
        <v>5.7638888888888892E-2</v>
      </c>
      <c r="W132" s="30" t="s">
        <v>91</v>
      </c>
      <c r="X132" s="30"/>
      <c r="Y132" s="30"/>
      <c r="Z132" s="30"/>
      <c r="AA132" s="30"/>
      <c r="AB132" s="30"/>
      <c r="AC132" s="30"/>
    </row>
    <row r="133" spans="2:29">
      <c r="B133" s="47" t="s">
        <v>409</v>
      </c>
      <c r="C133" s="45"/>
      <c r="D133" s="36">
        <v>0.25277777777777777</v>
      </c>
      <c r="E133" s="36">
        <v>0.25277777777777777</v>
      </c>
      <c r="F133" s="36">
        <v>0.35416666666666669</v>
      </c>
      <c r="G133" s="36">
        <v>0.35416666666666669</v>
      </c>
      <c r="H133" s="30" t="s">
        <v>29</v>
      </c>
      <c r="I133" s="38">
        <v>0.26319444444444445</v>
      </c>
      <c r="J133" s="30" t="s">
        <v>29</v>
      </c>
      <c r="K133" s="38">
        <v>0.34722222222222221</v>
      </c>
      <c r="L133" s="29" t="s">
        <v>424</v>
      </c>
      <c r="M133" s="31">
        <v>0.28958333333333336</v>
      </c>
      <c r="N133" s="38">
        <v>0.34027777777777779</v>
      </c>
      <c r="O133" s="31">
        <v>8.1944444444444445E-2</v>
      </c>
      <c r="P133" s="39">
        <v>36</v>
      </c>
      <c r="Q133" s="36">
        <v>8.1944444444444445E-2</v>
      </c>
      <c r="W133" s="30" t="s">
        <v>91</v>
      </c>
      <c r="X133" s="30"/>
      <c r="Y133" s="30"/>
      <c r="Z133" s="30"/>
      <c r="AA133" s="30"/>
      <c r="AB133" s="30"/>
      <c r="AC133" s="30"/>
    </row>
    <row r="134" spans="2:29">
      <c r="B134" s="47" t="s">
        <v>601</v>
      </c>
      <c r="C134" s="26"/>
      <c r="D134" s="36">
        <v>0.37777777777777777</v>
      </c>
      <c r="E134" s="36">
        <v>0.37777777777777777</v>
      </c>
      <c r="F134" s="36">
        <v>0.48055555555555557</v>
      </c>
      <c r="G134" s="36">
        <v>0.48055555555555557</v>
      </c>
      <c r="H134" s="30" t="s">
        <v>29</v>
      </c>
      <c r="I134" s="38">
        <v>0.38472222222222224</v>
      </c>
      <c r="J134" s="30" t="s">
        <v>29</v>
      </c>
      <c r="K134" s="38">
        <v>0.47361111111111115</v>
      </c>
      <c r="L134" s="28" t="s">
        <v>474</v>
      </c>
      <c r="M134" s="31">
        <v>0.38472222222222224</v>
      </c>
      <c r="N134" s="38">
        <v>0.46666666666666662</v>
      </c>
      <c r="O134" s="31">
        <v>8.3333333333333329E-2</v>
      </c>
      <c r="P134" s="39">
        <v>31.1</v>
      </c>
      <c r="Q134" s="36">
        <v>9.0972222222222218E-2</v>
      </c>
      <c r="W134" s="30" t="s">
        <v>91</v>
      </c>
      <c r="X134" s="30"/>
      <c r="Y134" s="30"/>
      <c r="Z134" s="30"/>
      <c r="AA134" s="30"/>
      <c r="AB134" s="30"/>
      <c r="AC134" s="30"/>
    </row>
    <row r="135" spans="2:29">
      <c r="B135" s="47" t="s">
        <v>240</v>
      </c>
      <c r="C135" s="83"/>
      <c r="D135" s="36">
        <v>0.25277777777777777</v>
      </c>
      <c r="E135" s="36">
        <v>0.25277777777777777</v>
      </c>
      <c r="F135" s="36">
        <v>0.48055555555555557</v>
      </c>
      <c r="G135" s="36">
        <v>0.48055555555555557</v>
      </c>
      <c r="H135" s="30" t="s">
        <v>29</v>
      </c>
      <c r="I135" s="38">
        <v>0.26319444444444445</v>
      </c>
      <c r="J135" s="30" t="s">
        <v>29</v>
      </c>
      <c r="K135" s="38">
        <v>0.47361111111111109</v>
      </c>
      <c r="L135" s="28" t="s">
        <v>474</v>
      </c>
      <c r="M135" s="31">
        <v>0.28958333333333336</v>
      </c>
      <c r="N135" s="38">
        <v>0.46666666666666667</v>
      </c>
      <c r="O135" s="31">
        <v>0.1673611111111111</v>
      </c>
      <c r="P135" s="39">
        <v>67.099999999999994</v>
      </c>
      <c r="Q135" s="36">
        <v>0.19236111111111112</v>
      </c>
      <c r="W135" s="30" t="s">
        <v>91</v>
      </c>
      <c r="X135" s="30"/>
      <c r="Y135" s="30"/>
      <c r="Z135" s="30"/>
      <c r="AA135" s="30"/>
      <c r="AB135" s="30"/>
      <c r="AC135" s="30"/>
    </row>
    <row r="136" spans="2:29">
      <c r="B136" s="47" t="s">
        <v>241</v>
      </c>
      <c r="C136" s="46"/>
      <c r="D136" s="36">
        <v>0.27916666666666667</v>
      </c>
      <c r="E136" s="36">
        <v>0.27916666666666667</v>
      </c>
      <c r="F136" s="36">
        <v>0.48055555555555557</v>
      </c>
      <c r="G136" s="36">
        <v>0.48055555555555557</v>
      </c>
      <c r="H136" s="30" t="s">
        <v>45</v>
      </c>
      <c r="I136" s="38">
        <v>0.28958333333333336</v>
      </c>
      <c r="J136" s="30" t="s">
        <v>29</v>
      </c>
      <c r="K136" s="38">
        <v>0.47361111111111109</v>
      </c>
      <c r="L136" s="29" t="s">
        <v>424</v>
      </c>
      <c r="M136" s="31">
        <v>0.28958333333333336</v>
      </c>
      <c r="N136" s="38">
        <v>0.46666666666666667</v>
      </c>
      <c r="O136" s="31">
        <v>0.14097222222222222</v>
      </c>
      <c r="P136" s="39">
        <v>52.5</v>
      </c>
      <c r="Q136" s="36">
        <v>0.16597222222222222</v>
      </c>
      <c r="W136" s="30" t="s">
        <v>91</v>
      </c>
      <c r="X136" s="30"/>
      <c r="Y136" s="30"/>
      <c r="Z136" s="30"/>
      <c r="AA136" s="30"/>
      <c r="AB136" s="30"/>
      <c r="AC136" s="30"/>
    </row>
    <row r="137" spans="2:29">
      <c r="B137" s="47" t="s">
        <v>425</v>
      </c>
      <c r="C137" s="26"/>
      <c r="D137" s="31">
        <v>0.24722222222222223</v>
      </c>
      <c r="E137" s="31">
        <v>0.24722222222222223</v>
      </c>
      <c r="F137" s="36">
        <v>0.3576388888888889</v>
      </c>
      <c r="G137" s="36">
        <v>0.3576388888888889</v>
      </c>
      <c r="H137" s="30" t="s">
        <v>29</v>
      </c>
      <c r="I137" s="38">
        <v>0.25763888888888886</v>
      </c>
      <c r="J137" s="30" t="s">
        <v>29</v>
      </c>
      <c r="K137" s="38">
        <v>0.35069444444444442</v>
      </c>
      <c r="L137" s="29" t="s">
        <v>137</v>
      </c>
      <c r="M137" s="31">
        <v>0.26666666666666666</v>
      </c>
      <c r="N137" s="38">
        <v>0.34375</v>
      </c>
      <c r="O137" s="31">
        <v>8.819444444444445E-2</v>
      </c>
      <c r="P137" s="39">
        <v>33</v>
      </c>
      <c r="Q137" s="36">
        <v>9.3055555555555558E-2</v>
      </c>
      <c r="W137" s="30" t="s">
        <v>91</v>
      </c>
      <c r="X137" s="30"/>
      <c r="Y137" s="30"/>
      <c r="Z137" s="30"/>
      <c r="AA137" s="30"/>
      <c r="AB137" s="30"/>
      <c r="AC137" s="30"/>
    </row>
    <row r="138" spans="2:29">
      <c r="B138" s="47" t="s">
        <v>431</v>
      </c>
      <c r="C138" s="26"/>
      <c r="D138" s="36">
        <v>0.47708333333333336</v>
      </c>
      <c r="E138" s="36">
        <v>0.47708333333333336</v>
      </c>
      <c r="F138" s="36">
        <v>0.58263888888888893</v>
      </c>
      <c r="G138" s="36">
        <v>0.58263888888888893</v>
      </c>
      <c r="H138" s="30" t="s">
        <v>29</v>
      </c>
      <c r="I138" s="38">
        <v>0.48402777777777778</v>
      </c>
      <c r="J138" s="30" t="s">
        <v>29</v>
      </c>
      <c r="K138" s="38">
        <v>0.5756944444444444</v>
      </c>
      <c r="L138" s="29" t="s">
        <v>57</v>
      </c>
      <c r="M138" s="31">
        <v>0.49305555555555558</v>
      </c>
      <c r="N138" s="38">
        <v>0.56874999999999998</v>
      </c>
      <c r="O138" s="31">
        <v>8.3333333333333329E-2</v>
      </c>
      <c r="P138" s="39">
        <v>33</v>
      </c>
      <c r="Q138" s="36">
        <v>9.166666666666666E-2</v>
      </c>
      <c r="W138" s="30" t="s">
        <v>91</v>
      </c>
      <c r="X138" s="30"/>
      <c r="Y138" s="30"/>
      <c r="Z138" s="30"/>
      <c r="AA138" s="30"/>
      <c r="AB138" s="30"/>
      <c r="AC138" s="30"/>
    </row>
    <row r="139" spans="2:29">
      <c r="B139" s="47" t="s">
        <v>602</v>
      </c>
      <c r="C139" s="26"/>
      <c r="D139" s="36">
        <v>0.61458333333333337</v>
      </c>
      <c r="E139" s="36">
        <v>0.61458333333333337</v>
      </c>
      <c r="F139" s="36">
        <v>0.72222222222222221</v>
      </c>
      <c r="G139" s="36">
        <v>0.72222222222222221</v>
      </c>
      <c r="H139" s="30" t="s">
        <v>29</v>
      </c>
      <c r="I139" s="38">
        <v>0.62152777777777779</v>
      </c>
      <c r="J139" s="30" t="s">
        <v>29</v>
      </c>
      <c r="K139" s="38">
        <v>0.79861111111111116</v>
      </c>
      <c r="L139" s="29" t="s">
        <v>57</v>
      </c>
      <c r="M139" s="31">
        <v>0.63055555555555554</v>
      </c>
      <c r="N139" s="38">
        <v>0.70833333333333337</v>
      </c>
      <c r="O139" s="31">
        <v>8.6805555555555552E-2</v>
      </c>
      <c r="P139" s="39">
        <v>34.700000000000003</v>
      </c>
      <c r="Q139" s="36">
        <v>9.375E-2</v>
      </c>
      <c r="W139" s="30" t="s">
        <v>91</v>
      </c>
      <c r="X139" s="30"/>
      <c r="Y139" s="30"/>
      <c r="Z139" s="30"/>
      <c r="AA139" s="30"/>
      <c r="AB139" s="30"/>
      <c r="AC139" s="30"/>
    </row>
    <row r="140" spans="2:29">
      <c r="B140" s="47" t="s">
        <v>243</v>
      </c>
      <c r="C140" s="26"/>
      <c r="D140" s="36">
        <v>0.73541666666666672</v>
      </c>
      <c r="E140" s="36">
        <v>0.73541666666666672</v>
      </c>
      <c r="F140" s="36">
        <v>0.85486111111111107</v>
      </c>
      <c r="G140" s="36">
        <v>0.85486111111111107</v>
      </c>
      <c r="H140" s="30" t="s">
        <v>29</v>
      </c>
      <c r="I140" s="38">
        <v>0.74236111111111114</v>
      </c>
      <c r="J140" s="30" t="s">
        <v>29</v>
      </c>
      <c r="K140" s="38">
        <v>0.84791666666666665</v>
      </c>
      <c r="L140" s="29" t="s">
        <v>57</v>
      </c>
      <c r="M140" s="31">
        <v>0.75138888888888888</v>
      </c>
      <c r="N140" s="38">
        <v>0.84097222222222223</v>
      </c>
      <c r="O140" s="31">
        <v>9.6527777777777782E-2</v>
      </c>
      <c r="P140" s="39">
        <v>34.700000000000003</v>
      </c>
      <c r="Q140" s="36">
        <v>0.10555555555555556</v>
      </c>
      <c r="W140" s="30" t="s">
        <v>91</v>
      </c>
      <c r="X140" s="30"/>
      <c r="Y140" s="30"/>
      <c r="Z140" s="30"/>
      <c r="AA140" s="30"/>
      <c r="AB140" s="30"/>
      <c r="AC140" s="30"/>
    </row>
    <row r="141" spans="2:29">
      <c r="B141" s="47" t="s">
        <v>242</v>
      </c>
      <c r="C141" s="46"/>
      <c r="D141" s="31" t="str">
        <f ca="1">IF($A$4="平日","5:56","11:27")</f>
        <v>5:56</v>
      </c>
      <c r="E141" s="31" t="str">
        <f ca="1">IF($A$4="平日","5:56","11:27")</f>
        <v>5:56</v>
      </c>
      <c r="F141" s="36">
        <v>0.85486111111111107</v>
      </c>
      <c r="G141" s="36">
        <v>0.85486111111111107</v>
      </c>
      <c r="H141" s="30" t="s">
        <v>29</v>
      </c>
      <c r="I141" s="31" t="str">
        <f ca="1">IF($A$4="平日","6:11","11:37")</f>
        <v>6:11</v>
      </c>
      <c r="J141" s="30" t="s">
        <v>29</v>
      </c>
      <c r="K141" s="38">
        <v>0.84791666666666665</v>
      </c>
      <c r="L141" s="30">
        <v>1067</v>
      </c>
      <c r="M141" s="31" t="str">
        <f ca="1">IF($A$4="平日","6:24","11:50")</f>
        <v>6:24</v>
      </c>
      <c r="N141" s="38">
        <v>0.84097222222222223</v>
      </c>
      <c r="O141" s="31" t="str">
        <f ca="1">IF($A$4="平日","8:31","6:24")</f>
        <v>8:31</v>
      </c>
      <c r="P141" s="40">
        <f ca="1">IF($A$4="平日",135.4,102.4)</f>
        <v>135.4</v>
      </c>
      <c r="Q141" s="31" t="str">
        <f ca="1">IF($A$4="平日","9:38","7:19")</f>
        <v>9:38</v>
      </c>
      <c r="W141" s="30" t="s">
        <v>91</v>
      </c>
      <c r="X141" s="30"/>
      <c r="Y141" s="30"/>
      <c r="Z141" s="30"/>
      <c r="AA141" s="30"/>
      <c r="AB141" s="30"/>
      <c r="AC141" s="30"/>
    </row>
    <row r="142" spans="2:29">
      <c r="B142" s="47" t="s">
        <v>480</v>
      </c>
      <c r="C142" s="26"/>
      <c r="D142" s="36">
        <v>0.24305555555555555</v>
      </c>
      <c r="E142" s="36">
        <v>0.24305555555555555</v>
      </c>
      <c r="F142" s="36">
        <v>0.36666666666666664</v>
      </c>
      <c r="G142" s="36">
        <v>0.36666666666666664</v>
      </c>
      <c r="H142" s="30" t="s">
        <v>29</v>
      </c>
      <c r="I142" s="38">
        <v>0.25347222222222221</v>
      </c>
      <c r="J142" s="30" t="s">
        <v>29</v>
      </c>
      <c r="K142" s="38">
        <v>0.35972222222222222</v>
      </c>
      <c r="L142" s="29" t="s">
        <v>56</v>
      </c>
      <c r="M142" s="31">
        <v>0.26250000000000001</v>
      </c>
      <c r="N142" s="38">
        <v>0.3527777777777778</v>
      </c>
      <c r="O142" s="31">
        <v>0.10208333333333333</v>
      </c>
      <c r="P142" s="39">
        <v>39.200000000000003</v>
      </c>
      <c r="Q142" s="36">
        <v>0.10625</v>
      </c>
      <c r="W142" s="30" t="s">
        <v>91</v>
      </c>
      <c r="X142" s="30"/>
      <c r="Y142" s="30"/>
      <c r="Z142" s="30"/>
      <c r="AA142" s="30"/>
      <c r="AB142" s="30"/>
      <c r="AC142" s="30"/>
    </row>
    <row r="143" spans="2:29">
      <c r="B143" s="47" t="s">
        <v>244</v>
      </c>
      <c r="C143" s="26"/>
      <c r="D143" s="31">
        <v>0.38680555555555557</v>
      </c>
      <c r="E143" s="31">
        <v>0.38680555555555557</v>
      </c>
      <c r="F143" s="31">
        <v>0.47569444444444442</v>
      </c>
      <c r="G143" s="31">
        <v>0.47569444444444442</v>
      </c>
      <c r="H143" s="30" t="s">
        <v>29</v>
      </c>
      <c r="I143" s="38">
        <v>0.39374999999999999</v>
      </c>
      <c r="J143" s="30" t="s">
        <v>29</v>
      </c>
      <c r="K143" s="38">
        <v>0.46875</v>
      </c>
      <c r="L143" s="29" t="s">
        <v>56</v>
      </c>
      <c r="M143" s="31">
        <v>0.40277777777777779</v>
      </c>
      <c r="N143" s="38">
        <v>0.46180555555555558</v>
      </c>
      <c r="O143" s="38">
        <v>6.7361111111111108E-2</v>
      </c>
      <c r="P143" s="40">
        <v>23.8</v>
      </c>
      <c r="Q143" s="31">
        <v>7.4999999999999997E-2</v>
      </c>
      <c r="W143" s="30" t="s">
        <v>91</v>
      </c>
      <c r="X143" s="30"/>
      <c r="Y143" s="30"/>
      <c r="Z143" s="30"/>
      <c r="AA143" s="30"/>
      <c r="AB143" s="30"/>
      <c r="AC143" s="30"/>
    </row>
    <row r="144" spans="2:29">
      <c r="B144" s="47" t="s">
        <v>444</v>
      </c>
      <c r="C144" s="26"/>
      <c r="D144" s="36">
        <v>0.4826388888888889</v>
      </c>
      <c r="E144" s="36">
        <v>0.4826388888888889</v>
      </c>
      <c r="F144" s="36">
        <v>0.55625000000000002</v>
      </c>
      <c r="G144" s="36">
        <v>0.55625000000000002</v>
      </c>
      <c r="H144" s="30" t="s">
        <v>29</v>
      </c>
      <c r="I144" s="38">
        <v>0.48958333333333331</v>
      </c>
      <c r="J144" s="30" t="s">
        <v>29</v>
      </c>
      <c r="K144" s="38">
        <v>0.5493055555555556</v>
      </c>
      <c r="L144" s="29" t="s">
        <v>686</v>
      </c>
      <c r="M144" s="31">
        <v>0.49375000000000002</v>
      </c>
      <c r="N144" s="38">
        <v>0.54722222222222228</v>
      </c>
      <c r="O144" s="31">
        <v>5.9722222222222225E-2</v>
      </c>
      <c r="P144" s="39">
        <v>18.600000000000001</v>
      </c>
      <c r="Q144" s="36">
        <v>5.9722222222222225E-2</v>
      </c>
      <c r="W144" s="30" t="s">
        <v>91</v>
      </c>
      <c r="X144" s="30"/>
      <c r="Y144" s="30"/>
      <c r="Z144" s="30"/>
      <c r="AA144" s="30"/>
      <c r="AB144" s="30"/>
      <c r="AC144" s="30"/>
    </row>
    <row r="145" spans="1:29">
      <c r="B145" s="47" t="s">
        <v>603</v>
      </c>
      <c r="C145" s="26"/>
      <c r="D145" s="36">
        <v>0.60902777777777772</v>
      </c>
      <c r="E145" s="36">
        <v>0.60902777777777772</v>
      </c>
      <c r="F145" s="36">
        <v>0.71250000000000002</v>
      </c>
      <c r="G145" s="36">
        <v>0.71250000000000002</v>
      </c>
      <c r="H145" s="30" t="s">
        <v>29</v>
      </c>
      <c r="I145" s="38">
        <v>0.61597222222222225</v>
      </c>
      <c r="J145" s="30" t="s">
        <v>44</v>
      </c>
      <c r="K145" s="38">
        <v>0.7055555555555556</v>
      </c>
      <c r="L145" s="29" t="s">
        <v>686</v>
      </c>
      <c r="M145" s="31">
        <v>0.61597222222222225</v>
      </c>
      <c r="N145" s="38">
        <v>0.69861111111111107</v>
      </c>
      <c r="O145" s="31">
        <v>7.9861111111111105E-2</v>
      </c>
      <c r="P145" s="39">
        <v>29.6</v>
      </c>
      <c r="Q145" s="36">
        <v>8.6805555555555552E-2</v>
      </c>
      <c r="W145" s="30" t="s">
        <v>91</v>
      </c>
      <c r="X145" s="30"/>
      <c r="Y145" s="30"/>
      <c r="Z145" s="30"/>
      <c r="AA145" s="30"/>
      <c r="AB145" s="30"/>
      <c r="AC145" s="30"/>
    </row>
    <row r="146" spans="1:29">
      <c r="B146" s="47" t="s">
        <v>245</v>
      </c>
      <c r="C146" s="26"/>
      <c r="D146" s="36">
        <v>0.71805555555555556</v>
      </c>
      <c r="E146" s="36">
        <v>0.71805555555555556</v>
      </c>
      <c r="F146" s="36">
        <v>0.79166666666666663</v>
      </c>
      <c r="G146" s="36">
        <v>0.79166666666666663</v>
      </c>
      <c r="H146" s="30" t="s">
        <v>44</v>
      </c>
      <c r="I146" s="38">
        <v>0.72499999999999998</v>
      </c>
      <c r="J146" s="30" t="s">
        <v>45</v>
      </c>
      <c r="K146" s="38">
        <v>0.78472222222222221</v>
      </c>
      <c r="L146" s="29" t="s">
        <v>686</v>
      </c>
      <c r="M146" s="31">
        <v>0.73402777777777772</v>
      </c>
      <c r="N146" s="38">
        <v>0.78472222222222221</v>
      </c>
      <c r="O146" s="31">
        <v>5.486111111111111E-2</v>
      </c>
      <c r="P146" s="39">
        <v>18.399999999999999</v>
      </c>
      <c r="Q146" s="36">
        <v>5.486111111111111E-2</v>
      </c>
      <c r="W146" s="30" t="s">
        <v>91</v>
      </c>
      <c r="X146" s="30"/>
      <c r="Y146" s="30"/>
      <c r="Z146" s="30"/>
      <c r="AA146" s="30"/>
      <c r="AB146" s="30"/>
      <c r="AC146" s="30"/>
    </row>
    <row r="147" spans="1:29">
      <c r="B147" s="47" t="s">
        <v>246</v>
      </c>
      <c r="C147" s="26"/>
      <c r="D147" s="36">
        <v>0.71805555555555556</v>
      </c>
      <c r="E147" s="36">
        <v>0.71805555555555556</v>
      </c>
      <c r="F147" s="36">
        <v>0.81597222222222221</v>
      </c>
      <c r="G147" s="36">
        <v>0.81597222222222221</v>
      </c>
      <c r="H147" s="30" t="s">
        <v>44</v>
      </c>
      <c r="I147" s="38">
        <v>0.72499999999999998</v>
      </c>
      <c r="J147" s="30" t="s">
        <v>29</v>
      </c>
      <c r="K147" s="38">
        <v>0.80902777777777779</v>
      </c>
      <c r="L147" s="29" t="s">
        <v>686</v>
      </c>
      <c r="M147" s="31">
        <v>0.73402777777777772</v>
      </c>
      <c r="N147" s="38">
        <v>0.80902777777777779</v>
      </c>
      <c r="O147" s="31">
        <v>7.9166666666666663E-2</v>
      </c>
      <c r="P147" s="39">
        <v>33</v>
      </c>
      <c r="Q147" s="36">
        <v>7.9166666666666663E-2</v>
      </c>
      <c r="W147" s="30" t="s">
        <v>91</v>
      </c>
      <c r="X147" s="30"/>
      <c r="Y147" s="30"/>
      <c r="Z147" s="30"/>
      <c r="AA147" s="30"/>
      <c r="AB147" s="30"/>
      <c r="AC147" s="30"/>
    </row>
    <row r="148" spans="1:29">
      <c r="B148" s="47" t="s">
        <v>284</v>
      </c>
      <c r="C148" s="83"/>
      <c r="D148" s="31">
        <v>0.24305555555555555</v>
      </c>
      <c r="E148" s="31">
        <v>0.24305555555555555</v>
      </c>
      <c r="F148" s="31">
        <v>0.81597222222222221</v>
      </c>
      <c r="G148" s="31">
        <v>0.81597222222222221</v>
      </c>
      <c r="H148" s="30" t="s">
        <v>29</v>
      </c>
      <c r="I148" s="31">
        <v>0.25347222222222221</v>
      </c>
      <c r="J148" s="30" t="s">
        <v>29</v>
      </c>
      <c r="K148" s="38">
        <v>0.80902777777777779</v>
      </c>
      <c r="L148" s="30" t="s">
        <v>687</v>
      </c>
      <c r="M148" s="31">
        <v>0.26250000000000001</v>
      </c>
      <c r="N148" s="31">
        <v>0.80902777777777779</v>
      </c>
      <c r="O148" s="31">
        <v>0.39861111111111114</v>
      </c>
      <c r="P148" s="40">
        <v>144.19999999999999</v>
      </c>
      <c r="Q148" s="31">
        <v>0.42430555555555555</v>
      </c>
      <c r="W148" s="30" t="s">
        <v>91</v>
      </c>
      <c r="X148" s="30"/>
      <c r="Y148" s="30"/>
      <c r="Z148" s="30"/>
      <c r="AA148" s="30"/>
      <c r="AB148" s="30"/>
      <c r="AC148" s="30"/>
    </row>
    <row r="149" spans="1:29">
      <c r="B149" s="47" t="s">
        <v>346</v>
      </c>
      <c r="C149" s="46"/>
      <c r="D149" s="31">
        <v>0.24305555555555555</v>
      </c>
      <c r="E149" s="31">
        <v>0.24305555555555555</v>
      </c>
      <c r="F149" s="31">
        <v>0.79166666666666663</v>
      </c>
      <c r="G149" s="31">
        <v>0.79166666666666663</v>
      </c>
      <c r="H149" s="30" t="s">
        <v>29</v>
      </c>
      <c r="I149" s="31">
        <v>0.25347222222222221</v>
      </c>
      <c r="J149" s="30" t="s">
        <v>45</v>
      </c>
      <c r="K149" s="38">
        <v>0.78472222222222221</v>
      </c>
      <c r="L149" s="30" t="s">
        <v>687</v>
      </c>
      <c r="M149" s="31">
        <v>0.26250000000000001</v>
      </c>
      <c r="N149" s="31">
        <v>0.78472222222222221</v>
      </c>
      <c r="O149" s="31">
        <v>0.36388888888888887</v>
      </c>
      <c r="P149" s="40">
        <v>129.6</v>
      </c>
      <c r="Q149" s="31">
        <v>0.4</v>
      </c>
      <c r="W149" s="30" t="s">
        <v>91</v>
      </c>
      <c r="X149" s="30"/>
      <c r="Y149" s="30"/>
      <c r="Z149" s="30"/>
      <c r="AA149" s="30"/>
      <c r="AB149" s="30"/>
      <c r="AC149" s="30"/>
    </row>
    <row r="150" spans="1:29">
      <c r="B150" s="47" t="s">
        <v>247</v>
      </c>
      <c r="C150" s="26"/>
      <c r="D150" s="36">
        <v>0.26458333333333334</v>
      </c>
      <c r="E150" s="36">
        <v>0.26458333333333334</v>
      </c>
      <c r="F150" s="36">
        <v>0.33402777777777776</v>
      </c>
      <c r="G150" s="36">
        <v>0.33402777777777776</v>
      </c>
      <c r="H150" s="30" t="s">
        <v>45</v>
      </c>
      <c r="I150" s="38">
        <v>0.27500000000000002</v>
      </c>
      <c r="J150" s="30" t="s">
        <v>29</v>
      </c>
      <c r="K150" s="38">
        <v>0.32708333333333334</v>
      </c>
      <c r="L150" s="29" t="s">
        <v>686</v>
      </c>
      <c r="M150" s="31">
        <v>0.27500000000000002</v>
      </c>
      <c r="N150" s="31">
        <v>0.32013888888888886</v>
      </c>
      <c r="O150" s="31">
        <v>4.7222222222222221E-2</v>
      </c>
      <c r="P150" s="39">
        <v>18.399999999999999</v>
      </c>
      <c r="Q150" s="36">
        <v>4.7222222222222221E-2</v>
      </c>
      <c r="W150" s="30" t="s">
        <v>91</v>
      </c>
      <c r="X150" s="30"/>
      <c r="Y150" s="30"/>
      <c r="Z150" s="30"/>
      <c r="AA150" s="30"/>
      <c r="AB150" s="30"/>
      <c r="AC150" s="30"/>
    </row>
    <row r="151" spans="1:29">
      <c r="B151" s="47" t="s">
        <v>248</v>
      </c>
      <c r="C151" s="26"/>
      <c r="D151" s="36">
        <v>0.23819444444444443</v>
      </c>
      <c r="E151" s="36">
        <v>0.23819444444444443</v>
      </c>
      <c r="F151" s="36">
        <v>0.33402777777777776</v>
      </c>
      <c r="G151" s="36">
        <v>0.33402777777777776</v>
      </c>
      <c r="H151" s="30" t="s">
        <v>29</v>
      </c>
      <c r="I151" s="38">
        <v>0.24861111111111112</v>
      </c>
      <c r="J151" s="30" t="s">
        <v>29</v>
      </c>
      <c r="K151" s="38">
        <v>0.32708333333333334</v>
      </c>
      <c r="L151" s="29" t="s">
        <v>686</v>
      </c>
      <c r="M151" s="31">
        <v>0.27500000000000002</v>
      </c>
      <c r="N151" s="31">
        <v>0.32013888888888886</v>
      </c>
      <c r="O151" s="31">
        <v>7.3611111111111113E-2</v>
      </c>
      <c r="P151" s="39">
        <v>33</v>
      </c>
      <c r="Q151" s="36">
        <v>7.3611111111111113E-2</v>
      </c>
      <c r="W151" s="30" t="s">
        <v>91</v>
      </c>
      <c r="X151" s="30"/>
      <c r="Y151" s="30"/>
      <c r="Z151" s="30"/>
      <c r="AA151" s="30"/>
      <c r="AB151" s="30"/>
      <c r="AC151" s="30"/>
    </row>
    <row r="152" spans="1:29">
      <c r="B152" s="47" t="s">
        <v>604</v>
      </c>
      <c r="C152" s="26"/>
      <c r="D152" s="36">
        <v>0.32569444444444445</v>
      </c>
      <c r="E152" s="36">
        <v>0.32569444444444445</v>
      </c>
      <c r="F152" s="36">
        <v>0.45277777777777778</v>
      </c>
      <c r="G152" s="36">
        <v>0.45277777777777778</v>
      </c>
      <c r="H152" s="30" t="s">
        <v>29</v>
      </c>
      <c r="I152" s="38">
        <v>0.33263888888888887</v>
      </c>
      <c r="J152" s="30" t="s">
        <v>29</v>
      </c>
      <c r="K152" s="38">
        <v>0.44583333333333336</v>
      </c>
      <c r="L152" s="29" t="s">
        <v>686</v>
      </c>
      <c r="M152" s="31">
        <v>0.34166666666666667</v>
      </c>
      <c r="N152" s="31">
        <v>0.44583333333333336</v>
      </c>
      <c r="O152" s="31">
        <v>9.8611111111111108E-2</v>
      </c>
      <c r="P152" s="39">
        <v>37</v>
      </c>
      <c r="Q152" s="36">
        <v>0.10833333333333334</v>
      </c>
      <c r="W152" s="30" t="s">
        <v>91</v>
      </c>
      <c r="X152" s="30"/>
      <c r="Y152" s="30"/>
      <c r="Z152" s="30"/>
      <c r="AA152" s="30"/>
      <c r="AB152" s="30"/>
      <c r="AC152" s="30"/>
    </row>
    <row r="153" spans="1:29">
      <c r="B153" s="47" t="s">
        <v>250</v>
      </c>
      <c r="C153" s="83"/>
      <c r="D153" s="36">
        <v>0.23819444444444443</v>
      </c>
      <c r="E153" s="36">
        <v>0.23819444444444443</v>
      </c>
      <c r="F153" s="36">
        <v>0.45277777777777778</v>
      </c>
      <c r="G153" s="36">
        <v>0.45277777777777778</v>
      </c>
      <c r="H153" s="30" t="s">
        <v>29</v>
      </c>
      <c r="I153" s="38">
        <v>0.24861111111111112</v>
      </c>
      <c r="J153" s="30" t="s">
        <v>29</v>
      </c>
      <c r="K153" s="38">
        <v>0.44583333333333336</v>
      </c>
      <c r="L153" s="29" t="s">
        <v>686</v>
      </c>
      <c r="M153" s="31">
        <v>0.24861111111111112</v>
      </c>
      <c r="N153" s="31">
        <v>0.44583333333333336</v>
      </c>
      <c r="O153" s="31">
        <v>0.17222222222222222</v>
      </c>
      <c r="P153" s="39">
        <v>70</v>
      </c>
      <c r="Q153" s="36">
        <v>0.19930555555555557</v>
      </c>
      <c r="W153" s="30" t="s">
        <v>91</v>
      </c>
      <c r="X153" s="30"/>
      <c r="Y153" s="30"/>
      <c r="Z153" s="30"/>
      <c r="AA153" s="30"/>
      <c r="AB153" s="30"/>
      <c r="AC153" s="30"/>
    </row>
    <row r="154" spans="1:29">
      <c r="B154" s="47" t="s">
        <v>249</v>
      </c>
      <c r="C154" s="46"/>
      <c r="D154" s="31">
        <v>0.26458333333333334</v>
      </c>
      <c r="E154" s="31">
        <v>0.26458333333333334</v>
      </c>
      <c r="F154" s="36">
        <v>0.45277777777777778</v>
      </c>
      <c r="G154" s="36">
        <v>0.45277777777777778</v>
      </c>
      <c r="H154" s="30" t="s">
        <v>45</v>
      </c>
      <c r="I154" s="31">
        <v>0.27500000000000002</v>
      </c>
      <c r="J154" s="30" t="s">
        <v>29</v>
      </c>
      <c r="K154" s="38">
        <v>0.45277777777777778</v>
      </c>
      <c r="L154" s="29" t="s">
        <v>686</v>
      </c>
      <c r="M154" s="31">
        <v>0.27500000000000002</v>
      </c>
      <c r="N154" s="31">
        <v>0.44583333333333336</v>
      </c>
      <c r="O154" s="38">
        <v>0.14583333333333334</v>
      </c>
      <c r="P154" s="40">
        <v>55.4</v>
      </c>
      <c r="Q154" s="31">
        <v>0.17291666666666666</v>
      </c>
      <c r="R154" s="40">
        <v>129.6</v>
      </c>
      <c r="W154" s="30" t="s">
        <v>91</v>
      </c>
      <c r="X154" s="30"/>
      <c r="Y154" s="30"/>
      <c r="Z154" s="30"/>
      <c r="AA154" s="30"/>
      <c r="AB154" s="30"/>
      <c r="AC154" s="30"/>
    </row>
    <row r="155" spans="1:29">
      <c r="W155" s="30"/>
      <c r="X155" s="30"/>
      <c r="Y155" s="30"/>
      <c r="Z155" s="30"/>
      <c r="AA155" s="30"/>
      <c r="AB155" s="30"/>
      <c r="AC155" s="30"/>
    </row>
    <row r="156" spans="1:29">
      <c r="A156" s="37"/>
      <c r="B156" s="47" t="s">
        <v>481</v>
      </c>
      <c r="C156" s="26"/>
      <c r="D156" s="36">
        <v>0.28333333333333333</v>
      </c>
      <c r="E156" s="36">
        <v>0.28333333333333333</v>
      </c>
      <c r="F156" s="36">
        <v>0.41249999999999998</v>
      </c>
      <c r="G156" s="36">
        <v>0.41249999999999998</v>
      </c>
      <c r="H156" s="30" t="s">
        <v>29</v>
      </c>
      <c r="I156" s="38">
        <v>0.29375000000000001</v>
      </c>
      <c r="J156" s="30" t="s">
        <v>29</v>
      </c>
      <c r="K156" s="38">
        <v>0.40555555555555556</v>
      </c>
      <c r="L156" s="28" t="s">
        <v>482</v>
      </c>
      <c r="M156" s="31">
        <v>0.30277777777777776</v>
      </c>
      <c r="N156" s="38">
        <v>0.39861111111111114</v>
      </c>
      <c r="O156" s="31">
        <v>9.930555555555555E-2</v>
      </c>
      <c r="P156" s="72">
        <v>34.700000000000003</v>
      </c>
      <c r="Q156" s="36">
        <v>9.930555555555555E-2</v>
      </c>
      <c r="W156" s="30" t="s">
        <v>91</v>
      </c>
      <c r="X156" s="30"/>
      <c r="Y156" s="30"/>
      <c r="Z156" s="30"/>
      <c r="AA156" s="30"/>
      <c r="AB156" s="30"/>
      <c r="AC156" s="30"/>
    </row>
    <row r="157" spans="1:29">
      <c r="B157" s="47" t="s">
        <v>483</v>
      </c>
      <c r="C157" s="47"/>
      <c r="D157" s="36">
        <v>0.44791666666666669</v>
      </c>
      <c r="E157" s="36">
        <v>0.44791666666666669</v>
      </c>
      <c r="F157" s="36">
        <v>0.53333333333333333</v>
      </c>
      <c r="G157" s="36">
        <v>0.53333333333333333</v>
      </c>
      <c r="H157" s="30" t="s">
        <v>29</v>
      </c>
      <c r="I157" s="38">
        <v>0.4548611111111111</v>
      </c>
      <c r="J157" s="30" t="s">
        <v>29</v>
      </c>
      <c r="K157" s="38">
        <v>0.52638888888888891</v>
      </c>
      <c r="L157" s="28" t="s">
        <v>482</v>
      </c>
      <c r="M157" s="31">
        <v>0.46388888888888891</v>
      </c>
      <c r="N157" s="38">
        <v>0.51944444444444449</v>
      </c>
      <c r="O157" s="31">
        <v>6.6666666666666666E-2</v>
      </c>
      <c r="P157" s="39">
        <v>23.8</v>
      </c>
      <c r="Q157" s="36">
        <v>7.1527777777777773E-2</v>
      </c>
      <c r="W157" s="30" t="s">
        <v>91</v>
      </c>
      <c r="X157" s="30"/>
      <c r="Y157" s="30"/>
      <c r="Z157" s="30"/>
      <c r="AA157" s="30"/>
      <c r="AB157" s="30"/>
      <c r="AC157" s="30"/>
    </row>
    <row r="158" spans="1:29">
      <c r="A158" s="37"/>
      <c r="B158" s="80" t="s">
        <v>605</v>
      </c>
      <c r="D158" s="36">
        <v>0.57638888888888884</v>
      </c>
      <c r="E158" s="36">
        <v>0.57638888888888884</v>
      </c>
      <c r="F158" s="36">
        <v>0.6743055555555556</v>
      </c>
      <c r="G158" s="36">
        <v>0.6743055555555556</v>
      </c>
      <c r="H158" s="30" t="s">
        <v>29</v>
      </c>
      <c r="I158" s="37">
        <v>0.58333333333333337</v>
      </c>
      <c r="J158" s="30" t="s">
        <v>29</v>
      </c>
      <c r="K158" s="37">
        <v>0.66736111111111107</v>
      </c>
      <c r="L158" s="28">
        <v>1086</v>
      </c>
      <c r="M158" s="36">
        <v>0.59236111111111112</v>
      </c>
      <c r="N158" s="37">
        <v>0.66736111111111107</v>
      </c>
      <c r="O158" s="37">
        <v>7.7083333333333337E-2</v>
      </c>
      <c r="P158" s="39">
        <v>33.5</v>
      </c>
      <c r="Q158" s="36">
        <v>8.4027777777777785E-2</v>
      </c>
      <c r="W158" s="30" t="s">
        <v>91</v>
      </c>
      <c r="X158" s="30"/>
      <c r="Y158" s="30"/>
      <c r="Z158" s="30"/>
      <c r="AA158" s="30"/>
      <c r="AB158" s="30"/>
      <c r="AC158" s="30"/>
    </row>
    <row r="159" spans="1:29">
      <c r="A159" s="37"/>
      <c r="B159" s="47" t="s">
        <v>484</v>
      </c>
      <c r="C159" s="26"/>
      <c r="D159" s="36">
        <v>0.68958333333333333</v>
      </c>
      <c r="E159" s="36">
        <v>0.68958333333333333</v>
      </c>
      <c r="F159" s="36">
        <v>0.80972222222222223</v>
      </c>
      <c r="G159" s="36">
        <v>0.80972222222222223</v>
      </c>
      <c r="H159" s="30" t="s">
        <v>29</v>
      </c>
      <c r="I159" s="38">
        <v>0.69652777777777775</v>
      </c>
      <c r="J159" s="30" t="s">
        <v>44</v>
      </c>
      <c r="K159" s="38">
        <v>0.80277777777777781</v>
      </c>
      <c r="L159" s="28">
        <v>1086</v>
      </c>
      <c r="M159" s="31">
        <v>0.7055555555555556</v>
      </c>
      <c r="N159" s="38">
        <v>0.79583333333333328</v>
      </c>
      <c r="O159" s="31">
        <v>9.375E-2</v>
      </c>
      <c r="P159" s="39">
        <v>40.299999999999997</v>
      </c>
      <c r="Q159" s="36">
        <v>0.10138888888888889</v>
      </c>
      <c r="W159" s="30" t="s">
        <v>91</v>
      </c>
      <c r="X159" s="30"/>
      <c r="Y159" s="30"/>
      <c r="Z159" s="30"/>
      <c r="AA159" s="30"/>
      <c r="AB159" s="30"/>
      <c r="AC159" s="30"/>
    </row>
    <row r="160" spans="1:29">
      <c r="A160" s="37"/>
      <c r="B160" s="47" t="s">
        <v>486</v>
      </c>
      <c r="D160" s="36">
        <v>0.80625000000000002</v>
      </c>
      <c r="E160" s="36">
        <v>0.80625000000000002</v>
      </c>
      <c r="F160" s="36">
        <v>0.86875000000000002</v>
      </c>
      <c r="G160" s="36">
        <v>0.86875000000000002</v>
      </c>
      <c r="H160" s="30" t="s">
        <v>44</v>
      </c>
      <c r="I160" s="38">
        <v>0.81319444444444444</v>
      </c>
      <c r="J160" s="30" t="s">
        <v>45</v>
      </c>
      <c r="K160" s="38">
        <v>0.8618055555555556</v>
      </c>
      <c r="L160" s="28">
        <v>1086</v>
      </c>
      <c r="M160" s="31">
        <v>0.82222222222222219</v>
      </c>
      <c r="N160" s="38">
        <v>0.8618055555555556</v>
      </c>
      <c r="O160" s="31">
        <v>4.3749999999999997E-2</v>
      </c>
      <c r="P160" s="39">
        <v>18.899999999999999</v>
      </c>
      <c r="Q160" s="36">
        <v>4.3749999999999997E-2</v>
      </c>
      <c r="W160" s="30" t="s">
        <v>91</v>
      </c>
      <c r="X160" s="30"/>
      <c r="Y160" s="30"/>
      <c r="Z160" s="30"/>
      <c r="AA160" s="30"/>
      <c r="AB160" s="30"/>
      <c r="AC160" s="30"/>
    </row>
    <row r="161" spans="1:29">
      <c r="A161" s="37"/>
      <c r="B161" s="47" t="s">
        <v>487</v>
      </c>
      <c r="D161" s="36">
        <v>0.80625000000000002</v>
      </c>
      <c r="E161" s="36">
        <v>0.80625000000000002</v>
      </c>
      <c r="F161" s="36">
        <v>0.8930555555555556</v>
      </c>
      <c r="G161" s="36">
        <v>0.8930555555555556</v>
      </c>
      <c r="H161" s="30" t="s">
        <v>44</v>
      </c>
      <c r="I161" s="38">
        <v>0.81319444444444444</v>
      </c>
      <c r="J161" s="30" t="s">
        <v>29</v>
      </c>
      <c r="K161" s="38">
        <v>0.88611111111111107</v>
      </c>
      <c r="L161" s="28">
        <v>1086</v>
      </c>
      <c r="M161" s="31">
        <v>0.82222222222222219</v>
      </c>
      <c r="N161" s="38">
        <v>0.88611111111111107</v>
      </c>
      <c r="O161" s="31">
        <v>6.805555555555555E-2</v>
      </c>
      <c r="P161" s="39">
        <v>33.5</v>
      </c>
      <c r="Q161" s="36">
        <v>6.805555555555555E-2</v>
      </c>
      <c r="W161" s="30" t="s">
        <v>91</v>
      </c>
      <c r="X161" s="30"/>
      <c r="Y161" s="30"/>
      <c r="Z161" s="30"/>
      <c r="AA161" s="30"/>
      <c r="AB161" s="30"/>
      <c r="AC161" s="30"/>
    </row>
    <row r="162" spans="1:29">
      <c r="A162" s="37"/>
      <c r="B162" s="47" t="s">
        <v>285</v>
      </c>
      <c r="C162" s="83"/>
      <c r="D162" s="36">
        <v>0.28333333333333333</v>
      </c>
      <c r="E162" s="36">
        <v>0.28333333333333333</v>
      </c>
      <c r="F162" s="36">
        <v>0.8930555555555556</v>
      </c>
      <c r="G162" s="36">
        <v>0.8930555555555556</v>
      </c>
      <c r="H162" s="30" t="s">
        <v>29</v>
      </c>
      <c r="I162" s="38">
        <v>0.29375000000000001</v>
      </c>
      <c r="J162" s="30" t="s">
        <v>29</v>
      </c>
      <c r="K162" s="38">
        <v>0.88611111111111107</v>
      </c>
      <c r="L162" s="29" t="s">
        <v>485</v>
      </c>
      <c r="M162" s="31">
        <v>0.30277777777777776</v>
      </c>
      <c r="N162" s="38">
        <v>0.88611111111111107</v>
      </c>
      <c r="O162" s="31">
        <v>0.40486111111111112</v>
      </c>
      <c r="P162" s="39">
        <v>165.8</v>
      </c>
      <c r="Q162" s="36">
        <v>0.44166666666666665</v>
      </c>
      <c r="W162" s="30" t="s">
        <v>91</v>
      </c>
      <c r="X162" s="30"/>
      <c r="Y162" s="30"/>
      <c r="Z162" s="30"/>
      <c r="AA162" s="30"/>
      <c r="AB162" s="30"/>
      <c r="AC162" s="30"/>
    </row>
    <row r="163" spans="1:29">
      <c r="A163" s="37"/>
      <c r="B163" s="47" t="s">
        <v>347</v>
      </c>
      <c r="C163" s="46"/>
      <c r="D163" s="36">
        <v>0.28333333333333333</v>
      </c>
      <c r="E163" s="36">
        <v>0.28333333333333333</v>
      </c>
      <c r="F163" s="36">
        <v>0.86875000000000002</v>
      </c>
      <c r="G163" s="36">
        <v>0.86875000000000002</v>
      </c>
      <c r="H163" s="30" t="s">
        <v>29</v>
      </c>
      <c r="I163" s="38">
        <v>0.29375000000000001</v>
      </c>
      <c r="J163" s="30" t="s">
        <v>45</v>
      </c>
      <c r="K163" s="38">
        <v>0.8618055555555556</v>
      </c>
      <c r="L163" s="29" t="s">
        <v>485</v>
      </c>
      <c r="M163" s="31">
        <v>0.30277777777777776</v>
      </c>
      <c r="N163" s="38">
        <v>0.8618055555555556</v>
      </c>
      <c r="O163" s="31">
        <v>0.38055555555555554</v>
      </c>
      <c r="P163" s="39">
        <v>151.19999999999999</v>
      </c>
      <c r="Q163" s="36">
        <v>0.41736111111111113</v>
      </c>
      <c r="W163" s="30" t="s">
        <v>91</v>
      </c>
      <c r="X163" s="30"/>
      <c r="Y163" s="30"/>
      <c r="Z163" s="30"/>
      <c r="AA163" s="30"/>
      <c r="AB163" s="30"/>
      <c r="AC163" s="30"/>
    </row>
    <row r="164" spans="1:29">
      <c r="A164" s="37"/>
      <c r="B164" s="47" t="s">
        <v>489</v>
      </c>
      <c r="C164" s="26"/>
      <c r="D164" s="36">
        <v>0.27500000000000002</v>
      </c>
      <c r="E164" s="36">
        <v>0.27500000000000002</v>
      </c>
      <c r="F164" s="36">
        <v>0.34722222222222221</v>
      </c>
      <c r="G164" s="36">
        <v>0.34722222222222221</v>
      </c>
      <c r="H164" s="30" t="s">
        <v>45</v>
      </c>
      <c r="I164" s="38">
        <v>0.28541666666666665</v>
      </c>
      <c r="J164" s="30" t="s">
        <v>44</v>
      </c>
      <c r="K164" s="38">
        <v>0.34027777777777779</v>
      </c>
      <c r="L164" s="28">
        <v>1086</v>
      </c>
      <c r="M164" s="31">
        <v>0.28541666666666665</v>
      </c>
      <c r="N164" s="38">
        <v>0.33333333333333331</v>
      </c>
      <c r="O164" s="31">
        <v>0.05</v>
      </c>
      <c r="P164" s="39">
        <v>18.399999999999999</v>
      </c>
      <c r="Q164" s="36">
        <v>0.05</v>
      </c>
      <c r="W164" s="30" t="s">
        <v>91</v>
      </c>
      <c r="X164" s="30"/>
      <c r="Y164" s="30"/>
      <c r="Z164" s="30"/>
      <c r="AA164" s="30"/>
      <c r="AB164" s="30"/>
      <c r="AC164" s="30"/>
    </row>
    <row r="165" spans="1:29">
      <c r="A165" s="37"/>
      <c r="B165" s="47" t="s">
        <v>251</v>
      </c>
      <c r="C165" s="26"/>
      <c r="D165" s="36">
        <v>0.24861111111111112</v>
      </c>
      <c r="E165" s="36">
        <v>0.24861111111111112</v>
      </c>
      <c r="F165" s="36">
        <v>0.34722222222222221</v>
      </c>
      <c r="G165" s="36">
        <v>0.34722222222222221</v>
      </c>
      <c r="H165" s="30" t="s">
        <v>29</v>
      </c>
      <c r="I165" s="38">
        <v>0.2590277777777778</v>
      </c>
      <c r="J165" s="30" t="s">
        <v>29</v>
      </c>
      <c r="K165" s="38">
        <v>0.34027777777777779</v>
      </c>
      <c r="L165" s="28">
        <v>1086</v>
      </c>
      <c r="M165" s="31">
        <v>0.2590277777777778</v>
      </c>
      <c r="N165" s="38">
        <v>0.33333333333333331</v>
      </c>
      <c r="O165" s="31">
        <v>7.6388888888888895E-2</v>
      </c>
      <c r="P165" s="39">
        <v>33</v>
      </c>
      <c r="Q165" s="36">
        <v>7.6388888888888895E-2</v>
      </c>
      <c r="W165" s="30" t="s">
        <v>91</v>
      </c>
      <c r="X165" s="30"/>
      <c r="Y165" s="30"/>
      <c r="Z165" s="30"/>
      <c r="AA165" s="30"/>
      <c r="AB165" s="30"/>
      <c r="AC165" s="30"/>
    </row>
    <row r="166" spans="1:29">
      <c r="A166" s="37"/>
      <c r="B166" s="47" t="s">
        <v>490</v>
      </c>
      <c r="C166" s="26"/>
      <c r="D166" s="36">
        <v>0.34861111111111109</v>
      </c>
      <c r="E166" s="36">
        <v>0.34861111111111109</v>
      </c>
      <c r="F166" s="36">
        <v>0.47083333333333333</v>
      </c>
      <c r="G166" s="36">
        <v>0.47083333333333333</v>
      </c>
      <c r="H166" s="30" t="s">
        <v>44</v>
      </c>
      <c r="I166" s="38">
        <v>0.38611111111111113</v>
      </c>
      <c r="J166" s="30" t="s">
        <v>29</v>
      </c>
      <c r="K166" s="38">
        <v>0.46388888888888891</v>
      </c>
      <c r="L166" s="28">
        <v>1086</v>
      </c>
      <c r="M166" s="31">
        <v>0.36458333333333331</v>
      </c>
      <c r="N166" s="38">
        <v>0.45694444444444443</v>
      </c>
      <c r="O166" s="31">
        <v>9.7916666666666666E-2</v>
      </c>
      <c r="P166" s="39">
        <v>43.4</v>
      </c>
      <c r="Q166" s="36">
        <v>0.10347222222222222</v>
      </c>
      <c r="W166" s="30" t="s">
        <v>91</v>
      </c>
      <c r="X166" s="30"/>
      <c r="Y166" s="30"/>
      <c r="Z166" s="30"/>
      <c r="AA166" s="30"/>
      <c r="AB166" s="30"/>
      <c r="AC166" s="30"/>
    </row>
    <row r="167" spans="1:29">
      <c r="A167" s="37"/>
      <c r="B167" s="47" t="s">
        <v>252</v>
      </c>
      <c r="C167" s="83"/>
      <c r="D167" s="36">
        <v>0.24861111111111112</v>
      </c>
      <c r="E167" s="36">
        <v>0.24861111111111112</v>
      </c>
      <c r="F167" s="36">
        <v>0.47083333333333333</v>
      </c>
      <c r="G167" s="36">
        <v>0.47083333333333333</v>
      </c>
      <c r="H167" s="30" t="s">
        <v>29</v>
      </c>
      <c r="I167" s="38">
        <v>0.2590277777777778</v>
      </c>
      <c r="J167" s="30" t="s">
        <v>29</v>
      </c>
      <c r="K167" s="38">
        <v>0.46388888888888891</v>
      </c>
      <c r="L167" s="28">
        <v>1086</v>
      </c>
      <c r="M167" s="31">
        <v>0.2590277777777778</v>
      </c>
      <c r="N167" s="38">
        <v>0.45694444444444443</v>
      </c>
      <c r="O167" s="31">
        <v>0.17430555555555555</v>
      </c>
      <c r="P167" s="39">
        <v>76.400000000000006</v>
      </c>
      <c r="Q167" s="36">
        <v>0.19722222222222222</v>
      </c>
      <c r="W167" s="30" t="s">
        <v>91</v>
      </c>
      <c r="X167" s="30"/>
      <c r="Y167" s="30"/>
      <c r="Z167" s="30"/>
      <c r="AA167" s="30"/>
      <c r="AB167" s="30"/>
      <c r="AC167" s="30"/>
    </row>
    <row r="168" spans="1:29">
      <c r="A168" s="37"/>
      <c r="B168" s="47" t="s">
        <v>342</v>
      </c>
      <c r="C168" s="46"/>
      <c r="D168" s="36">
        <v>0.27500000000000002</v>
      </c>
      <c r="E168" s="36">
        <v>0.27500000000000002</v>
      </c>
      <c r="F168" s="36">
        <v>0.47083333333333333</v>
      </c>
      <c r="G168" s="36">
        <v>0.47083333333333333</v>
      </c>
      <c r="H168" s="30" t="s">
        <v>45</v>
      </c>
      <c r="I168" s="38">
        <v>0.28541666666666665</v>
      </c>
      <c r="J168" s="30" t="s">
        <v>29</v>
      </c>
      <c r="K168" s="38">
        <v>0.46388888888888891</v>
      </c>
      <c r="L168" s="28">
        <v>1086</v>
      </c>
      <c r="M168" s="31">
        <v>0.28541666666666665</v>
      </c>
      <c r="N168" s="38">
        <v>0.45763888888888887</v>
      </c>
      <c r="O168" s="31">
        <v>0.14791666666666667</v>
      </c>
      <c r="P168" s="39">
        <v>61.8</v>
      </c>
      <c r="Q168" s="36">
        <v>0.17083333333333334</v>
      </c>
      <c r="W168" s="30" t="s">
        <v>91</v>
      </c>
      <c r="X168" s="30"/>
      <c r="Y168" s="30"/>
      <c r="Z168" s="30"/>
      <c r="AA168" s="30"/>
      <c r="AB168" s="30"/>
      <c r="AC168" s="30"/>
    </row>
    <row r="169" spans="1:29">
      <c r="A169" s="37"/>
      <c r="B169" s="47" t="s">
        <v>253</v>
      </c>
      <c r="C169" s="26"/>
      <c r="D169" s="36">
        <v>0.23055555555555557</v>
      </c>
      <c r="E169" s="36">
        <v>0.23055555555555557</v>
      </c>
      <c r="F169" s="36">
        <v>0.34583333333333333</v>
      </c>
      <c r="G169" s="36">
        <v>0.34583333333333333</v>
      </c>
      <c r="H169" s="30" t="s">
        <v>29</v>
      </c>
      <c r="I169" s="38">
        <v>0.24097222222222223</v>
      </c>
      <c r="J169" s="30" t="s">
        <v>29</v>
      </c>
      <c r="K169" s="38">
        <v>0.33888888888888891</v>
      </c>
      <c r="L169" s="28" t="s">
        <v>93</v>
      </c>
      <c r="M169" s="31">
        <v>0.25</v>
      </c>
      <c r="N169" s="38">
        <v>0.33194444444444443</v>
      </c>
      <c r="O169" s="31">
        <v>9.166666666666666E-2</v>
      </c>
      <c r="P169" s="39">
        <v>34.700000000000003</v>
      </c>
      <c r="Q169" s="36">
        <v>9.7916666666666666E-2</v>
      </c>
      <c r="W169" s="30" t="s">
        <v>91</v>
      </c>
      <c r="X169" s="30"/>
      <c r="Y169" s="30"/>
      <c r="Z169" s="30"/>
      <c r="AA169" s="30"/>
      <c r="AB169" s="30"/>
      <c r="AC169" s="30"/>
    </row>
    <row r="170" spans="1:29">
      <c r="A170" s="37"/>
      <c r="B170" s="47" t="s">
        <v>254</v>
      </c>
      <c r="C170" s="26"/>
      <c r="D170" s="31" t="str">
        <f ca="1">IF($A$4="平日","9:29","9:24")</f>
        <v>9:29</v>
      </c>
      <c r="E170" s="31" t="str">
        <f ca="1">IF($A$4="平日","9:29","9:24")</f>
        <v>9:29</v>
      </c>
      <c r="F170" s="36">
        <v>0.48194444444444445</v>
      </c>
      <c r="G170" s="36">
        <v>0.48194444444444445</v>
      </c>
      <c r="H170" s="30" t="s">
        <v>29</v>
      </c>
      <c r="I170" s="38">
        <v>0.40208333333333335</v>
      </c>
      <c r="J170" s="30" t="s">
        <v>29</v>
      </c>
      <c r="K170" s="38">
        <v>0.47499999999999998</v>
      </c>
      <c r="L170" s="28" t="s">
        <v>93</v>
      </c>
      <c r="M170" s="31">
        <v>0.41111111111111109</v>
      </c>
      <c r="N170" s="38">
        <v>0.46805555555555556</v>
      </c>
      <c r="O170" s="38">
        <v>6.7361111111111108E-2</v>
      </c>
      <c r="P170" s="40">
        <v>31.8</v>
      </c>
      <c r="Q170" s="31">
        <v>7.2916666666666671E-2</v>
      </c>
      <c r="W170" s="30" t="s">
        <v>91</v>
      </c>
      <c r="X170" s="30"/>
      <c r="Y170" s="30"/>
      <c r="Z170" s="30"/>
      <c r="AA170" s="30"/>
      <c r="AB170" s="30"/>
      <c r="AC170" s="30"/>
    </row>
    <row r="171" spans="1:29">
      <c r="A171" s="37"/>
      <c r="B171" s="47" t="s">
        <v>491</v>
      </c>
      <c r="C171" s="26"/>
      <c r="D171" s="36">
        <v>0.59861111111111109</v>
      </c>
      <c r="E171" s="36">
        <v>0.59861111111111109</v>
      </c>
      <c r="F171" s="36">
        <v>0.72083333333333333</v>
      </c>
      <c r="G171" s="36">
        <v>0.72083333333333333</v>
      </c>
      <c r="H171" s="30" t="s">
        <v>29</v>
      </c>
      <c r="I171" s="38">
        <v>0.60555555555555551</v>
      </c>
      <c r="J171" s="30" t="s">
        <v>44</v>
      </c>
      <c r="K171" s="38">
        <v>0.71388888888888891</v>
      </c>
      <c r="L171" s="28" t="s">
        <v>93</v>
      </c>
      <c r="M171" s="31">
        <v>0.61458333333333337</v>
      </c>
      <c r="N171" s="38">
        <v>0.70694444444444449</v>
      </c>
      <c r="O171" s="31">
        <v>9.7222222222222224E-2</v>
      </c>
      <c r="P171" s="39">
        <v>39.299999999999997</v>
      </c>
      <c r="Q171" s="36">
        <v>0.10347222222222222</v>
      </c>
      <c r="W171" s="30" t="s">
        <v>91</v>
      </c>
      <c r="X171" s="30"/>
      <c r="Y171" s="30"/>
      <c r="Z171" s="30"/>
      <c r="AA171" s="30"/>
      <c r="AB171" s="30"/>
      <c r="AC171" s="30"/>
    </row>
    <row r="172" spans="1:29">
      <c r="A172" s="37"/>
      <c r="B172" s="47" t="s">
        <v>255</v>
      </c>
      <c r="C172" s="26"/>
      <c r="D172" s="36">
        <v>0.71180555555555558</v>
      </c>
      <c r="E172" s="36">
        <v>0.71180555555555558</v>
      </c>
      <c r="F172" s="36">
        <v>0.82499999999999996</v>
      </c>
      <c r="G172" s="36">
        <v>0.82500000000000007</v>
      </c>
      <c r="H172" s="30" t="s">
        <v>44</v>
      </c>
      <c r="I172" s="38">
        <v>0.71875</v>
      </c>
      <c r="J172" s="30" t="s">
        <v>29</v>
      </c>
      <c r="K172" s="38">
        <v>0.81805555555555554</v>
      </c>
      <c r="L172" s="28" t="s">
        <v>93</v>
      </c>
      <c r="M172" s="31">
        <v>0.72777777777777775</v>
      </c>
      <c r="N172" s="38">
        <v>0.81111111111111101</v>
      </c>
      <c r="O172" s="31">
        <v>8.611111111111111E-2</v>
      </c>
      <c r="P172" s="39">
        <v>35.299999999999997</v>
      </c>
      <c r="Q172" s="36">
        <v>9.4444444444444442E-2</v>
      </c>
      <c r="W172" s="30" t="s">
        <v>91</v>
      </c>
      <c r="X172" s="30"/>
      <c r="Y172" s="30"/>
      <c r="Z172" s="30"/>
      <c r="AA172" s="30"/>
      <c r="AB172" s="30"/>
      <c r="AC172" s="30"/>
    </row>
    <row r="173" spans="1:29">
      <c r="B173" s="47" t="s">
        <v>343</v>
      </c>
      <c r="C173" s="46"/>
      <c r="D173" s="31" t="str">
        <f ca="1">IF($A$4="平日","5:32","9:24")</f>
        <v>5:32</v>
      </c>
      <c r="E173" s="31" t="str">
        <f ca="1">IF($A$4="平日","5:32","9:24")</f>
        <v>5:32</v>
      </c>
      <c r="F173" s="31">
        <v>0.82500000000000007</v>
      </c>
      <c r="G173" s="31">
        <v>0.82500000000000007</v>
      </c>
      <c r="H173" s="30" t="s">
        <v>29</v>
      </c>
      <c r="I173" s="38" t="str">
        <f ca="1">IF($A$4="平日","5:47","9:39")</f>
        <v>5:47</v>
      </c>
      <c r="J173" s="30" t="s">
        <v>29</v>
      </c>
      <c r="K173" s="38">
        <v>0.81805555555555554</v>
      </c>
      <c r="L173" s="28" t="s">
        <v>93</v>
      </c>
      <c r="M173" s="31" t="str">
        <f ca="1">IF($A$4="平日","6:00","9:52")</f>
        <v>6:00</v>
      </c>
      <c r="N173" s="38">
        <v>0.81111111111111101</v>
      </c>
      <c r="O173" s="30" t="str">
        <f ca="1">IF($A$4="平日","8:16","6:04")</f>
        <v>8:16</v>
      </c>
      <c r="P173" s="40">
        <f ca="1">IF($A$4="平日",141.1,106.4)</f>
        <v>141.1</v>
      </c>
      <c r="Q173" s="30" t="str">
        <f ca="1">IF($A$4="平日","9:16","6:55")</f>
        <v>9:16</v>
      </c>
      <c r="S173" s="28"/>
      <c r="T173" s="28"/>
      <c r="W173" s="30" t="s">
        <v>91</v>
      </c>
      <c r="X173" s="30"/>
      <c r="Y173" s="30"/>
      <c r="Z173" s="30"/>
      <c r="AA173" s="30"/>
      <c r="AB173" s="30"/>
      <c r="AC173" s="30"/>
    </row>
    <row r="174" spans="1:29">
      <c r="A174" s="37"/>
      <c r="B174" s="47" t="s">
        <v>256</v>
      </c>
      <c r="C174" s="26"/>
      <c r="D174" s="36">
        <v>0.33124999999999999</v>
      </c>
      <c r="E174" s="36">
        <v>0.33124999999999999</v>
      </c>
      <c r="F174" s="36">
        <v>0.39513888888888887</v>
      </c>
      <c r="G174" s="36">
        <v>0.39513888888888887</v>
      </c>
      <c r="H174" s="30" t="s">
        <v>29</v>
      </c>
      <c r="I174" s="38">
        <v>0.34166666666666667</v>
      </c>
      <c r="J174" s="30" t="s">
        <v>29</v>
      </c>
      <c r="K174" s="38">
        <v>0.38819444444444445</v>
      </c>
      <c r="L174" s="28" t="s">
        <v>57</v>
      </c>
      <c r="M174" s="31">
        <v>0.35069444444444442</v>
      </c>
      <c r="N174" s="38">
        <v>0.38124999999999998</v>
      </c>
      <c r="O174" s="31">
        <v>4.6527777777777779E-2</v>
      </c>
      <c r="P174" s="39">
        <v>16.3</v>
      </c>
      <c r="Q174" s="36">
        <v>4.6527777777777779E-2</v>
      </c>
      <c r="W174" s="30" t="s">
        <v>91</v>
      </c>
      <c r="X174" s="30"/>
      <c r="Y174" s="30"/>
      <c r="Z174" s="30"/>
      <c r="AA174" s="30"/>
      <c r="AB174" s="30"/>
      <c r="AC174" s="30"/>
    </row>
    <row r="175" spans="1:29">
      <c r="A175" s="37"/>
      <c r="B175" s="47" t="s">
        <v>445</v>
      </c>
      <c r="C175" s="26"/>
      <c r="D175" s="36">
        <v>0.42708333333333331</v>
      </c>
      <c r="E175" s="36">
        <v>0.42708333333333331</v>
      </c>
      <c r="F175" s="36">
        <v>0.50069444444444444</v>
      </c>
      <c r="G175" s="36">
        <v>0.50069444444444444</v>
      </c>
      <c r="H175" s="30" t="s">
        <v>29</v>
      </c>
      <c r="I175" s="38">
        <v>0.43402777777777779</v>
      </c>
      <c r="J175" s="30" t="s">
        <v>29</v>
      </c>
      <c r="K175" s="38">
        <v>0.49375000000000002</v>
      </c>
      <c r="L175" s="28" t="s">
        <v>143</v>
      </c>
      <c r="M175" s="31">
        <v>0.43819444444444444</v>
      </c>
      <c r="N175" s="38">
        <v>0.49166666666666664</v>
      </c>
      <c r="O175" s="31">
        <v>5.9722222222222225E-2</v>
      </c>
      <c r="P175" s="39">
        <v>18.600000000000001</v>
      </c>
      <c r="Q175" s="36">
        <v>5.9722222222222225E-2</v>
      </c>
      <c r="W175" s="30" t="s">
        <v>91</v>
      </c>
      <c r="X175" s="30"/>
      <c r="Y175" s="30"/>
      <c r="Z175" s="30"/>
      <c r="AA175" s="30"/>
      <c r="AB175" s="30"/>
      <c r="AC175" s="30"/>
    </row>
    <row r="176" spans="1:29">
      <c r="B176" s="47" t="s">
        <v>606</v>
      </c>
      <c r="C176" s="26"/>
      <c r="D176" s="36">
        <v>0.56388888888888888</v>
      </c>
      <c r="E176" s="36">
        <v>0.56388888888888888</v>
      </c>
      <c r="F176" s="36">
        <v>0.67638888888888893</v>
      </c>
      <c r="G176" s="36">
        <v>0.67638888888888893</v>
      </c>
      <c r="H176" s="30" t="s">
        <v>29</v>
      </c>
      <c r="I176" s="38">
        <v>0.5708333333333333</v>
      </c>
      <c r="J176" s="30" t="s">
        <v>29</v>
      </c>
      <c r="K176" s="38">
        <v>0.6694444444444444</v>
      </c>
      <c r="L176" s="28">
        <v>1088</v>
      </c>
      <c r="M176" s="31">
        <v>0.5708333333333333</v>
      </c>
      <c r="N176" s="38">
        <v>0.66249999999999998</v>
      </c>
      <c r="O176" s="31">
        <v>8.6805555555555552E-2</v>
      </c>
      <c r="P176" s="39">
        <v>32.4</v>
      </c>
      <c r="Q176" s="36">
        <v>0.10069444444444445</v>
      </c>
      <c r="W176" s="30" t="s">
        <v>91</v>
      </c>
      <c r="X176" s="30"/>
      <c r="Y176" s="30"/>
      <c r="Z176" s="30"/>
      <c r="AA176" s="30"/>
      <c r="AB176" s="30"/>
      <c r="AC176" s="30"/>
    </row>
    <row r="177" spans="2:29">
      <c r="B177" s="47" t="s">
        <v>492</v>
      </c>
      <c r="C177" s="26"/>
      <c r="D177" s="36">
        <v>0.69930555555555551</v>
      </c>
      <c r="E177" s="36">
        <v>0.69930555555555551</v>
      </c>
      <c r="F177" s="36">
        <v>0.81736111111111109</v>
      </c>
      <c r="G177" s="36">
        <v>0.81736111111111109</v>
      </c>
      <c r="H177" s="30" t="s">
        <v>29</v>
      </c>
      <c r="I177" s="38">
        <v>0.70625000000000004</v>
      </c>
      <c r="J177" s="30" t="s">
        <v>29</v>
      </c>
      <c r="K177" s="38">
        <v>0.81041666666666667</v>
      </c>
      <c r="L177" s="28">
        <v>1088</v>
      </c>
      <c r="M177" s="31">
        <v>0.71527777777777779</v>
      </c>
      <c r="N177" s="38">
        <v>0.80347222222222225</v>
      </c>
      <c r="O177" s="31">
        <v>9.4444444444444442E-2</v>
      </c>
      <c r="P177" s="39">
        <v>33</v>
      </c>
      <c r="Q177" s="36">
        <v>0.10416666666666667</v>
      </c>
      <c r="W177" s="30" t="s">
        <v>91</v>
      </c>
      <c r="X177" s="30"/>
      <c r="Y177" s="30"/>
      <c r="Z177" s="30"/>
      <c r="AA177" s="30"/>
      <c r="AB177" s="30"/>
      <c r="AC177" s="30"/>
    </row>
    <row r="178" spans="2:29">
      <c r="B178" s="47" t="s">
        <v>493</v>
      </c>
      <c r="C178" s="26"/>
      <c r="D178" s="36">
        <v>0.83611111111111114</v>
      </c>
      <c r="E178" s="36">
        <v>0.83611111111111114</v>
      </c>
      <c r="F178" s="36">
        <v>0.90138888888888891</v>
      </c>
      <c r="G178" s="36">
        <v>0.90138888888888891</v>
      </c>
      <c r="H178" s="30" t="s">
        <v>29</v>
      </c>
      <c r="I178" s="38">
        <v>0.84305555555555556</v>
      </c>
      <c r="J178" s="30" t="s">
        <v>45</v>
      </c>
      <c r="K178" s="38">
        <v>0.89444444444444449</v>
      </c>
      <c r="L178" s="28">
        <v>1088</v>
      </c>
      <c r="M178" s="31">
        <v>0.8520833333333333</v>
      </c>
      <c r="N178" s="38">
        <v>0.89444444444444449</v>
      </c>
      <c r="O178" s="31">
        <v>5.1388888888888887E-2</v>
      </c>
      <c r="P178" s="39">
        <v>20.9</v>
      </c>
      <c r="Q178" s="36">
        <v>5.1388888888888887E-2</v>
      </c>
      <c r="W178" s="30" t="s">
        <v>91</v>
      </c>
      <c r="X178" s="30"/>
      <c r="Y178" s="30"/>
      <c r="Z178" s="30"/>
      <c r="AA178" s="30"/>
      <c r="AB178" s="30"/>
      <c r="AC178" s="30"/>
    </row>
    <row r="179" spans="2:29">
      <c r="B179" s="47" t="s">
        <v>494</v>
      </c>
      <c r="C179" s="26"/>
      <c r="D179" s="36">
        <v>0.83611111111111114</v>
      </c>
      <c r="E179" s="36">
        <v>0.83611111111111114</v>
      </c>
      <c r="F179" s="36">
        <v>0.92569444444444449</v>
      </c>
      <c r="G179" s="36">
        <v>0.92569444444444449</v>
      </c>
      <c r="H179" s="30" t="s">
        <v>29</v>
      </c>
      <c r="I179" s="38">
        <v>0.84305555555555556</v>
      </c>
      <c r="J179" s="30" t="s">
        <v>29</v>
      </c>
      <c r="K179" s="38">
        <v>0.91874999999999996</v>
      </c>
      <c r="L179" s="28">
        <v>1088</v>
      </c>
      <c r="M179" s="31">
        <v>0.8520833333333333</v>
      </c>
      <c r="N179" s="38">
        <v>0.91874999999999996</v>
      </c>
      <c r="O179" s="31">
        <v>9.6527777777777782E-2</v>
      </c>
      <c r="P179" s="39">
        <v>35.5</v>
      </c>
      <c r="Q179" s="36">
        <v>9.6527777777777782E-2</v>
      </c>
      <c r="W179" s="30" t="s">
        <v>91</v>
      </c>
      <c r="X179" s="30"/>
      <c r="Y179" s="30"/>
      <c r="Z179" s="30"/>
      <c r="AA179" s="30"/>
      <c r="AB179" s="30"/>
      <c r="AC179" s="30"/>
    </row>
    <row r="180" spans="2:29">
      <c r="B180" s="47" t="s">
        <v>286</v>
      </c>
      <c r="C180" s="83"/>
      <c r="D180" s="31">
        <v>0.33124999999999999</v>
      </c>
      <c r="E180" s="31">
        <v>0.33124999999999999</v>
      </c>
      <c r="F180" s="36">
        <v>0.92569444444444449</v>
      </c>
      <c r="G180" s="36">
        <v>0.92569444444444449</v>
      </c>
      <c r="H180" s="30" t="s">
        <v>29</v>
      </c>
      <c r="I180" s="38">
        <v>0.34166666666666667</v>
      </c>
      <c r="J180" s="30" t="s">
        <v>29</v>
      </c>
      <c r="K180" s="38">
        <v>0.91874999999999996</v>
      </c>
      <c r="L180" s="15" t="s">
        <v>691</v>
      </c>
      <c r="M180" s="31">
        <v>0.35069444444444442</v>
      </c>
      <c r="N180" s="38">
        <v>0.91874999999999996</v>
      </c>
      <c r="O180" s="31">
        <v>0.36319444444444443</v>
      </c>
      <c r="P180" s="39">
        <v>135.80000000000001</v>
      </c>
      <c r="Q180" s="36">
        <v>0.40416666666666667</v>
      </c>
      <c r="W180" s="30" t="s">
        <v>91</v>
      </c>
      <c r="X180" s="30"/>
      <c r="Y180" s="30"/>
      <c r="Z180" s="30"/>
      <c r="AA180" s="30"/>
      <c r="AB180" s="30"/>
      <c r="AC180" s="30"/>
    </row>
    <row r="181" spans="2:29">
      <c r="B181" s="47" t="s">
        <v>344</v>
      </c>
      <c r="C181" s="46"/>
      <c r="D181" s="31">
        <v>0.33124999999999999</v>
      </c>
      <c r="E181" s="31">
        <v>0.33124999999999999</v>
      </c>
      <c r="F181" s="36">
        <v>0.90138888888888891</v>
      </c>
      <c r="G181" s="36">
        <v>0.90138888888888891</v>
      </c>
      <c r="H181" s="30" t="s">
        <v>29</v>
      </c>
      <c r="I181" s="38">
        <v>0.34166666666666667</v>
      </c>
      <c r="J181" s="30" t="s">
        <v>45</v>
      </c>
      <c r="K181" s="38">
        <v>0.89444444444444449</v>
      </c>
      <c r="L181" s="15" t="s">
        <v>691</v>
      </c>
      <c r="M181" s="31">
        <v>0.35069444444444442</v>
      </c>
      <c r="N181" s="38">
        <v>0.89444444444444449</v>
      </c>
      <c r="O181" s="31">
        <v>0.33888888888888891</v>
      </c>
      <c r="P181" s="39">
        <v>121.2</v>
      </c>
      <c r="Q181" s="36">
        <v>0.37986111111111109</v>
      </c>
      <c r="W181" s="30" t="s">
        <v>91</v>
      </c>
      <c r="X181" s="30"/>
      <c r="Y181" s="30"/>
      <c r="Z181" s="30"/>
      <c r="AA181" s="30"/>
      <c r="AB181" s="30"/>
      <c r="AC181" s="30"/>
    </row>
    <row r="182" spans="2:29">
      <c r="B182" s="47" t="s">
        <v>287</v>
      </c>
      <c r="C182" s="83"/>
      <c r="D182" s="36">
        <v>0.2673611111111111</v>
      </c>
      <c r="E182" s="36">
        <v>0.2673611111111111</v>
      </c>
      <c r="F182" s="36">
        <v>0.37152777777777779</v>
      </c>
      <c r="G182" s="36">
        <v>0.37152777777777779</v>
      </c>
      <c r="H182" s="30" t="s">
        <v>29</v>
      </c>
      <c r="I182" s="38">
        <v>0.27777777777777779</v>
      </c>
      <c r="J182" s="30" t="s">
        <v>29</v>
      </c>
      <c r="K182" s="38">
        <v>0.36458333333333331</v>
      </c>
      <c r="L182" s="28">
        <v>1088</v>
      </c>
      <c r="M182" s="38">
        <v>0.27777777777777779</v>
      </c>
      <c r="N182" s="38">
        <v>0.3576388888888889</v>
      </c>
      <c r="O182" s="31">
        <v>8.4722222222222227E-2</v>
      </c>
      <c r="P182" s="39">
        <v>35.5</v>
      </c>
      <c r="Q182" s="36">
        <v>0.10208333333333333</v>
      </c>
      <c r="R182" s="31"/>
      <c r="W182" s="30" t="s">
        <v>91</v>
      </c>
      <c r="X182" s="30"/>
      <c r="Y182" s="30"/>
      <c r="Z182" s="30"/>
      <c r="AA182" s="30"/>
      <c r="AB182" s="30"/>
      <c r="AC182" s="30"/>
    </row>
    <row r="183" spans="2:29">
      <c r="B183" s="47" t="s">
        <v>345</v>
      </c>
      <c r="C183" s="46"/>
      <c r="D183" s="36">
        <v>0.29375000000000001</v>
      </c>
      <c r="E183" s="36">
        <v>0.29375000000000001</v>
      </c>
      <c r="F183" s="36">
        <v>0.37152777777777779</v>
      </c>
      <c r="G183" s="36">
        <v>0.37152777777777779</v>
      </c>
      <c r="H183" s="30" t="s">
        <v>45</v>
      </c>
      <c r="I183" s="38">
        <v>0.30416666666666664</v>
      </c>
      <c r="J183" s="30" t="s">
        <v>29</v>
      </c>
      <c r="K183" s="38">
        <v>0.36458333333333331</v>
      </c>
      <c r="L183" s="28">
        <v>1088</v>
      </c>
      <c r="M183" s="31">
        <v>0.30416666666666664</v>
      </c>
      <c r="N183" s="38">
        <v>0.3576388888888889</v>
      </c>
      <c r="O183" s="31">
        <v>6.0416666666666667E-2</v>
      </c>
      <c r="P183" s="39">
        <v>20.9</v>
      </c>
      <c r="Q183" s="36">
        <v>7.7777777777777779E-2</v>
      </c>
      <c r="R183" s="39">
        <v>121.2</v>
      </c>
      <c r="W183" s="30" t="s">
        <v>91</v>
      </c>
      <c r="X183" s="30"/>
      <c r="Y183" s="30"/>
      <c r="Z183" s="30"/>
      <c r="AA183" s="30"/>
      <c r="AB183" s="30"/>
      <c r="AC183" s="30"/>
    </row>
    <row r="184" spans="2:29">
      <c r="W184" s="30"/>
      <c r="X184" s="30"/>
      <c r="Y184" s="30"/>
      <c r="Z184" s="30"/>
      <c r="AA184" s="30"/>
      <c r="AB184" s="30"/>
      <c r="AC184" s="30"/>
    </row>
    <row r="185" spans="2:29">
      <c r="B185" s="47" t="s">
        <v>495</v>
      </c>
      <c r="C185" s="47"/>
      <c r="D185" s="36">
        <v>0.48194444444444445</v>
      </c>
      <c r="E185" s="36">
        <v>0.48194444444444445</v>
      </c>
      <c r="F185" s="36">
        <v>0.58819444444444446</v>
      </c>
      <c r="G185" s="36">
        <v>0.58819444444444446</v>
      </c>
      <c r="H185" s="30" t="s">
        <v>29</v>
      </c>
      <c r="I185" s="38">
        <v>0.48888888888888887</v>
      </c>
      <c r="J185" s="30" t="s">
        <v>29</v>
      </c>
      <c r="K185" s="38">
        <v>0.58125000000000004</v>
      </c>
      <c r="L185" s="28" t="s">
        <v>127</v>
      </c>
      <c r="M185" s="31">
        <v>0.49791666666666667</v>
      </c>
      <c r="N185" s="38">
        <v>0.57430555555555551</v>
      </c>
      <c r="O185" s="31">
        <v>8.611111111111111E-2</v>
      </c>
      <c r="P185" s="39">
        <v>37.799999999999997</v>
      </c>
      <c r="Q185" s="36">
        <v>9.2361111111111116E-2</v>
      </c>
      <c r="W185" s="30" t="s">
        <v>91</v>
      </c>
      <c r="X185" s="30"/>
      <c r="Y185" s="30"/>
      <c r="Z185" s="30"/>
      <c r="AA185" s="30"/>
      <c r="AB185" s="30"/>
      <c r="AC185" s="30"/>
    </row>
    <row r="186" spans="2:29">
      <c r="B186" s="47" t="s">
        <v>496</v>
      </c>
      <c r="C186" s="47"/>
      <c r="D186" s="36">
        <v>0.61597222222222225</v>
      </c>
      <c r="E186" s="36">
        <v>0.61597222222222225</v>
      </c>
      <c r="F186" s="36">
        <v>0.70208333333333328</v>
      </c>
      <c r="G186" s="36">
        <v>0.70208333333333328</v>
      </c>
      <c r="H186" s="30" t="s">
        <v>29</v>
      </c>
      <c r="I186" s="38">
        <v>0.62291666666666667</v>
      </c>
      <c r="J186" s="30" t="s">
        <v>29</v>
      </c>
      <c r="K186" s="38">
        <v>0.69513888888888886</v>
      </c>
      <c r="L186" s="28" t="s">
        <v>127</v>
      </c>
      <c r="M186" s="31">
        <v>0.63194444444444442</v>
      </c>
      <c r="N186" s="38">
        <v>0.68819444444444444</v>
      </c>
      <c r="O186" s="31">
        <v>6.7361111111111108E-2</v>
      </c>
      <c r="P186" s="39">
        <v>31.8</v>
      </c>
      <c r="Q186" s="36">
        <v>7.2222222222222215E-2</v>
      </c>
      <c r="W186" s="30" t="s">
        <v>91</v>
      </c>
      <c r="X186" s="30"/>
      <c r="Y186" s="30"/>
      <c r="Z186" s="30"/>
      <c r="AA186" s="30"/>
      <c r="AB186" s="30"/>
      <c r="AC186" s="30"/>
    </row>
    <row r="187" spans="2:29">
      <c r="B187" s="47" t="s">
        <v>258</v>
      </c>
      <c r="C187" s="47"/>
      <c r="D187" s="36">
        <v>0.72638888888888886</v>
      </c>
      <c r="E187" s="36">
        <v>0.72638888888888886</v>
      </c>
      <c r="F187" s="36">
        <v>0.84583333333333333</v>
      </c>
      <c r="G187" s="36">
        <v>0.84583333333333333</v>
      </c>
      <c r="H187" s="30" t="s">
        <v>29</v>
      </c>
      <c r="I187" s="38">
        <v>0.73333333333333328</v>
      </c>
      <c r="J187" s="30" t="s">
        <v>44</v>
      </c>
      <c r="K187" s="38">
        <v>0.83888888888888891</v>
      </c>
      <c r="L187" s="28" t="s">
        <v>127</v>
      </c>
      <c r="M187" s="31">
        <v>0.74236111111111114</v>
      </c>
      <c r="N187" s="38">
        <v>0.83194444444444449</v>
      </c>
      <c r="O187" s="31">
        <v>9.0972222222222218E-2</v>
      </c>
      <c r="P187" s="39">
        <v>40.299999999999997</v>
      </c>
      <c r="Q187" s="36">
        <v>0.10069444444444445</v>
      </c>
      <c r="W187" s="30" t="s">
        <v>91</v>
      </c>
      <c r="X187" s="30"/>
      <c r="Y187" s="30"/>
      <c r="Z187" s="30"/>
      <c r="AA187" s="30"/>
      <c r="AB187" s="30"/>
      <c r="AC187" s="30"/>
    </row>
    <row r="188" spans="2:29">
      <c r="B188" s="47" t="s">
        <v>257</v>
      </c>
      <c r="C188" s="47"/>
      <c r="D188" s="36">
        <v>0.83263888888888893</v>
      </c>
      <c r="E188" s="36">
        <v>0.83263888888888893</v>
      </c>
      <c r="F188" s="36">
        <v>0.89444444444444449</v>
      </c>
      <c r="G188" s="36">
        <v>0.89444444444444449</v>
      </c>
      <c r="H188" s="30" t="s">
        <v>44</v>
      </c>
      <c r="I188" s="38">
        <v>0.83958333333333335</v>
      </c>
      <c r="J188" s="30" t="s">
        <v>45</v>
      </c>
      <c r="K188" s="38">
        <v>0.88749999999999996</v>
      </c>
      <c r="L188" s="28" t="s">
        <v>127</v>
      </c>
      <c r="M188" s="31">
        <v>0.84861111111111109</v>
      </c>
      <c r="N188" s="38">
        <v>0.87847222222222221</v>
      </c>
      <c r="O188" s="31">
        <v>4.3055555555555555E-2</v>
      </c>
      <c r="P188" s="39">
        <v>19.3</v>
      </c>
      <c r="Q188" s="36">
        <v>4.3055555555555555E-2</v>
      </c>
      <c r="W188" s="30" t="s">
        <v>91</v>
      </c>
      <c r="X188" s="30"/>
      <c r="Y188" s="30"/>
      <c r="Z188" s="30"/>
      <c r="AA188" s="30"/>
      <c r="AB188" s="30"/>
      <c r="AC188" s="30"/>
    </row>
    <row r="189" spans="2:29">
      <c r="B189" s="47" t="s">
        <v>423</v>
      </c>
      <c r="C189" s="47"/>
      <c r="D189" s="36">
        <v>0.83263888888888893</v>
      </c>
      <c r="E189" s="36">
        <v>0.83263888888888893</v>
      </c>
      <c r="F189" s="36">
        <v>0.90625</v>
      </c>
      <c r="G189" s="36">
        <v>0.90625</v>
      </c>
      <c r="H189" s="30" t="s">
        <v>44</v>
      </c>
      <c r="I189" s="38">
        <v>0.83958333333333335</v>
      </c>
      <c r="J189" s="30" t="s">
        <v>29</v>
      </c>
      <c r="K189" s="38">
        <v>0.89930555555555558</v>
      </c>
      <c r="L189" s="28" t="s">
        <v>127</v>
      </c>
      <c r="M189" s="31">
        <v>0.84861111111111109</v>
      </c>
      <c r="N189" s="38">
        <v>0.89930555555555558</v>
      </c>
      <c r="O189" s="31">
        <v>5.486111111111111E-2</v>
      </c>
      <c r="P189" s="39">
        <v>26.3</v>
      </c>
      <c r="Q189" s="36">
        <v>5.486111111111111E-2</v>
      </c>
      <c r="W189" s="30" t="s">
        <v>91</v>
      </c>
      <c r="X189" s="30"/>
      <c r="Y189" s="30"/>
      <c r="Z189" s="30"/>
      <c r="AA189" s="30"/>
      <c r="AB189" s="30"/>
      <c r="AC189" s="30"/>
    </row>
    <row r="190" spans="2:29">
      <c r="B190" s="47" t="s">
        <v>288</v>
      </c>
      <c r="C190" s="83"/>
      <c r="D190" s="31" t="str">
        <f ca="1">IF($A$4="平日","7:13","11:34")</f>
        <v>7:13</v>
      </c>
      <c r="E190" s="31" t="str">
        <f ca="1">IF($A$4="平日","7:13","11:34")</f>
        <v>7:13</v>
      </c>
      <c r="F190" s="31">
        <v>0.90625</v>
      </c>
      <c r="G190" s="31">
        <v>0.90625</v>
      </c>
      <c r="H190" s="30" t="s">
        <v>29</v>
      </c>
      <c r="I190" s="31" t="str">
        <f ca="1">IF($A$4="平日","7:28","11:44")</f>
        <v>7:28</v>
      </c>
      <c r="J190" s="30" t="s">
        <v>29</v>
      </c>
      <c r="K190" s="38">
        <v>0.89930555555555558</v>
      </c>
      <c r="L190" s="30">
        <v>1075</v>
      </c>
      <c r="M190" s="31">
        <v>0.49791666666666667</v>
      </c>
      <c r="N190" s="31">
        <v>0.89930555555555558</v>
      </c>
      <c r="O190" s="31">
        <v>0.29930555555555555</v>
      </c>
      <c r="P190" s="40">
        <v>136.19999999999999</v>
      </c>
      <c r="Q190" s="31">
        <v>0.33402777777777776</v>
      </c>
      <c r="W190" s="30" t="s">
        <v>91</v>
      </c>
      <c r="X190" s="30"/>
      <c r="Y190" s="30"/>
      <c r="Z190" s="30"/>
      <c r="AA190" s="30"/>
      <c r="AB190" s="30"/>
      <c r="AC190" s="30"/>
    </row>
    <row r="191" spans="2:29">
      <c r="B191" s="47" t="s">
        <v>353</v>
      </c>
      <c r="C191" s="46"/>
      <c r="D191" s="31">
        <v>0.48194444444444445</v>
      </c>
      <c r="E191" s="31">
        <v>0.48194444444444445</v>
      </c>
      <c r="F191" s="31">
        <v>0.89444444444444449</v>
      </c>
      <c r="G191" s="31">
        <v>0.89444444444444449</v>
      </c>
      <c r="H191" s="30" t="s">
        <v>29</v>
      </c>
      <c r="I191" s="31">
        <v>0.48888888888888887</v>
      </c>
      <c r="J191" s="30" t="s">
        <v>45</v>
      </c>
      <c r="K191" s="38">
        <v>0.88749999999999996</v>
      </c>
      <c r="L191" s="30">
        <v>1075</v>
      </c>
      <c r="M191" s="31">
        <v>0.49791666666666667</v>
      </c>
      <c r="N191" s="31">
        <v>0.87847222222222221</v>
      </c>
      <c r="O191" s="31">
        <v>0.28749999999999998</v>
      </c>
      <c r="P191" s="40">
        <v>129.19999999999999</v>
      </c>
      <c r="Q191" s="31">
        <v>0.32222222222222224</v>
      </c>
      <c r="W191" s="30" t="s">
        <v>91</v>
      </c>
      <c r="X191" s="30"/>
      <c r="Y191" s="30"/>
      <c r="Z191" s="30"/>
      <c r="AA191" s="30"/>
      <c r="AB191" s="30"/>
      <c r="AC191" s="30"/>
    </row>
    <row r="192" spans="2:29">
      <c r="B192" s="47" t="s">
        <v>401</v>
      </c>
      <c r="C192" s="47"/>
      <c r="D192" s="36">
        <v>0.28055555555555556</v>
      </c>
      <c r="E192" s="36">
        <v>0.28055555555555556</v>
      </c>
      <c r="F192" s="36">
        <v>0.35694444444444445</v>
      </c>
      <c r="G192" s="36">
        <v>0.35694444444444445</v>
      </c>
      <c r="H192" s="30" t="s">
        <v>45</v>
      </c>
      <c r="I192" s="38">
        <v>0.29097222222222224</v>
      </c>
      <c r="J192" s="30" t="s">
        <v>29</v>
      </c>
      <c r="K192" s="38">
        <v>0.35</v>
      </c>
      <c r="L192" s="28" t="s">
        <v>127</v>
      </c>
      <c r="M192" s="31">
        <v>0.30208333333333331</v>
      </c>
      <c r="N192" s="38">
        <v>0.34305555555555556</v>
      </c>
      <c r="O192" s="31">
        <v>5.9027777777777776E-2</v>
      </c>
      <c r="P192" s="39">
        <v>21.8</v>
      </c>
      <c r="Q192" s="36">
        <v>5.9027777777777776E-2</v>
      </c>
      <c r="W192" s="30" t="s">
        <v>91</v>
      </c>
      <c r="X192" s="30"/>
      <c r="Y192" s="30"/>
      <c r="Z192" s="30"/>
      <c r="AA192" s="30"/>
      <c r="AB192" s="30"/>
      <c r="AC192" s="30"/>
    </row>
    <row r="193" spans="2:29">
      <c r="B193" s="47" t="s">
        <v>264</v>
      </c>
      <c r="C193" s="47"/>
      <c r="D193" s="36">
        <v>0.26874999999999999</v>
      </c>
      <c r="E193" s="36">
        <v>0.26874999999999999</v>
      </c>
      <c r="F193" s="36">
        <v>0.35694444444444445</v>
      </c>
      <c r="G193" s="36">
        <v>0.35694444444444445</v>
      </c>
      <c r="H193" s="30" t="s">
        <v>29</v>
      </c>
      <c r="I193" s="38">
        <v>0.27916666666666667</v>
      </c>
      <c r="J193" s="30" t="s">
        <v>29</v>
      </c>
      <c r="K193" s="38">
        <v>0.35</v>
      </c>
      <c r="L193" s="28" t="s">
        <v>127</v>
      </c>
      <c r="M193" s="31">
        <v>0.27916666666666667</v>
      </c>
      <c r="N193" s="38">
        <v>0.34305555555555556</v>
      </c>
      <c r="O193" s="31">
        <v>7.0833333333333331E-2</v>
      </c>
      <c r="P193" s="39">
        <v>28.8</v>
      </c>
      <c r="Q193" s="36">
        <v>7.0833333333333331E-2</v>
      </c>
      <c r="W193" s="30" t="s">
        <v>91</v>
      </c>
      <c r="X193" s="30"/>
      <c r="Y193" s="30"/>
      <c r="Z193" s="30"/>
      <c r="AA193" s="30"/>
      <c r="AB193" s="30"/>
      <c r="AC193" s="30"/>
    </row>
    <row r="194" spans="2:29">
      <c r="B194" s="47" t="s">
        <v>263</v>
      </c>
      <c r="C194" s="47"/>
      <c r="D194" s="36">
        <v>0.36944444444444446</v>
      </c>
      <c r="E194" s="36">
        <v>0.36944444444444446</v>
      </c>
      <c r="F194" s="36">
        <v>0.46736111111111112</v>
      </c>
      <c r="G194" s="36">
        <v>0.46736111111111112</v>
      </c>
      <c r="H194" s="30" t="s">
        <v>29</v>
      </c>
      <c r="I194" s="38">
        <v>0.37638888888888888</v>
      </c>
      <c r="J194" s="30" t="s">
        <v>29</v>
      </c>
      <c r="K194" s="38">
        <v>0.46041666666666664</v>
      </c>
      <c r="L194" s="28" t="s">
        <v>127</v>
      </c>
      <c r="M194" s="31">
        <v>0.38541666666666669</v>
      </c>
      <c r="N194" s="38">
        <v>0.45347222222222222</v>
      </c>
      <c r="O194" s="31">
        <v>7.4305555555555555E-2</v>
      </c>
      <c r="P194" s="39">
        <v>30.3</v>
      </c>
      <c r="Q194" s="36">
        <v>8.4027777777777785E-2</v>
      </c>
      <c r="W194" s="30" t="s">
        <v>91</v>
      </c>
      <c r="X194" s="30"/>
      <c r="Y194" s="30"/>
      <c r="Z194" s="30"/>
      <c r="AA194" s="30"/>
      <c r="AB194" s="30"/>
      <c r="AC194" s="30"/>
    </row>
    <row r="195" spans="2:29">
      <c r="B195" s="47" t="s">
        <v>289</v>
      </c>
      <c r="C195" s="83"/>
      <c r="D195" s="36">
        <v>0.26874999999999999</v>
      </c>
      <c r="E195" s="36">
        <v>0.26874999999999999</v>
      </c>
      <c r="F195" s="36">
        <v>0.46736111111111112</v>
      </c>
      <c r="G195" s="36">
        <v>0.46736111111111112</v>
      </c>
      <c r="H195" s="30" t="s">
        <v>29</v>
      </c>
      <c r="I195" s="38">
        <v>0.27916666666666667</v>
      </c>
      <c r="J195" s="30" t="s">
        <v>29</v>
      </c>
      <c r="K195" s="38">
        <v>0.46041666666666664</v>
      </c>
      <c r="L195" s="28" t="s">
        <v>127</v>
      </c>
      <c r="M195" s="31">
        <v>0.30208333333333331</v>
      </c>
      <c r="N195" s="38">
        <v>0.45347222222222222</v>
      </c>
      <c r="O195" s="31">
        <v>0.1451388888888889</v>
      </c>
      <c r="P195" s="39">
        <v>59.1</v>
      </c>
      <c r="Q195" s="36">
        <v>0.16875000000000001</v>
      </c>
      <c r="S195" s="28"/>
      <c r="T195" s="28"/>
      <c r="W195" s="30" t="s">
        <v>91</v>
      </c>
      <c r="X195" s="30"/>
      <c r="Y195" s="30"/>
      <c r="Z195" s="30"/>
      <c r="AA195" s="30"/>
      <c r="AB195" s="30"/>
      <c r="AC195" s="30"/>
    </row>
    <row r="196" spans="2:29">
      <c r="B196" s="47" t="s">
        <v>348</v>
      </c>
      <c r="C196" s="46"/>
      <c r="D196" s="36">
        <v>0.28055555555555556</v>
      </c>
      <c r="E196" s="36">
        <v>0.28055555555555556</v>
      </c>
      <c r="F196" s="36">
        <v>0.46736111111111112</v>
      </c>
      <c r="G196" s="36">
        <v>0.46736111111111112</v>
      </c>
      <c r="H196" s="30" t="s">
        <v>45</v>
      </c>
      <c r="I196" s="38">
        <v>0.29097222222222224</v>
      </c>
      <c r="J196" s="30" t="s">
        <v>29</v>
      </c>
      <c r="K196" s="38">
        <v>0.46041666666666664</v>
      </c>
      <c r="L196" s="28" t="s">
        <v>127</v>
      </c>
      <c r="M196" s="31">
        <v>0.30208333333333331</v>
      </c>
      <c r="N196" s="38">
        <v>0.45347222222222222</v>
      </c>
      <c r="O196" s="31">
        <v>0.13333333333333333</v>
      </c>
      <c r="P196" s="39">
        <v>52.1</v>
      </c>
      <c r="Q196" s="36">
        <v>0.16041666666666668</v>
      </c>
      <c r="W196" s="30" t="s">
        <v>91</v>
      </c>
      <c r="X196" s="30"/>
      <c r="Y196" s="30"/>
      <c r="Z196" s="30"/>
      <c r="AA196" s="30"/>
      <c r="AB196" s="30"/>
      <c r="AC196" s="30"/>
    </row>
    <row r="197" spans="2:29">
      <c r="B197" s="47" t="s">
        <v>497</v>
      </c>
      <c r="C197" s="47"/>
      <c r="D197" s="36">
        <v>0.28611111111111109</v>
      </c>
      <c r="E197" s="36">
        <v>0.28611111111111109</v>
      </c>
      <c r="F197" s="36">
        <v>0.40277777777777779</v>
      </c>
      <c r="G197" s="36">
        <v>0.40277777777777779</v>
      </c>
      <c r="H197" s="30" t="s">
        <v>29</v>
      </c>
      <c r="I197" s="38">
        <v>0.29652777777777778</v>
      </c>
      <c r="J197" s="30" t="s">
        <v>29</v>
      </c>
      <c r="K197" s="38">
        <v>0.39583333333333331</v>
      </c>
      <c r="L197" s="28" t="s">
        <v>321</v>
      </c>
      <c r="M197" s="31">
        <v>0.30555555555555558</v>
      </c>
      <c r="N197" s="38">
        <v>0.3888888888888889</v>
      </c>
      <c r="O197" s="31">
        <v>9.0277777777777776E-2</v>
      </c>
      <c r="P197" s="39">
        <v>30.6</v>
      </c>
      <c r="Q197" s="36">
        <v>9.930555555555555E-2</v>
      </c>
      <c r="W197" s="30" t="s">
        <v>91</v>
      </c>
      <c r="X197" s="30"/>
      <c r="Y197" s="30"/>
      <c r="Z197" s="30"/>
      <c r="AA197" s="30"/>
      <c r="AB197" s="30"/>
      <c r="AC197" s="30"/>
    </row>
    <row r="198" spans="2:29">
      <c r="B198" s="47" t="s">
        <v>607</v>
      </c>
      <c r="C198" s="47"/>
      <c r="D198" s="36">
        <v>0.50972222222222219</v>
      </c>
      <c r="E198" s="36">
        <v>0.50972222222222219</v>
      </c>
      <c r="F198" s="36">
        <v>0.625</v>
      </c>
      <c r="G198" s="36">
        <v>0.625</v>
      </c>
      <c r="H198" s="30" t="s">
        <v>29</v>
      </c>
      <c r="I198" s="38">
        <v>0.51666666666666672</v>
      </c>
      <c r="J198" s="30" t="s">
        <v>29</v>
      </c>
      <c r="K198" s="38">
        <v>0.61805555555555558</v>
      </c>
      <c r="L198" s="28" t="s">
        <v>321</v>
      </c>
      <c r="M198" s="31">
        <v>0.52569444444444446</v>
      </c>
      <c r="N198" s="38">
        <v>0.61805555555555558</v>
      </c>
      <c r="O198" s="31">
        <v>9.2361111111111116E-2</v>
      </c>
      <c r="P198" s="39">
        <v>34.799999999999997</v>
      </c>
      <c r="Q198" s="36">
        <v>0.10138888888888889</v>
      </c>
      <c r="W198" s="30" t="s">
        <v>91</v>
      </c>
      <c r="X198" s="30"/>
      <c r="Y198" s="30"/>
      <c r="Z198" s="30"/>
      <c r="AA198" s="30"/>
      <c r="AB198" s="30"/>
      <c r="AC198" s="30"/>
    </row>
    <row r="199" spans="2:29">
      <c r="B199" s="47" t="s">
        <v>265</v>
      </c>
      <c r="C199" s="47"/>
      <c r="D199" s="36">
        <v>0.65763888888888888</v>
      </c>
      <c r="E199" s="36">
        <v>0.65763888888888888</v>
      </c>
      <c r="F199" s="36">
        <v>0.75624999999999998</v>
      </c>
      <c r="G199" s="36">
        <v>0.75624999999999998</v>
      </c>
      <c r="H199" s="30" t="s">
        <v>29</v>
      </c>
      <c r="I199" s="38">
        <v>0.6645833333333333</v>
      </c>
      <c r="J199" s="30" t="s">
        <v>44</v>
      </c>
      <c r="K199" s="38">
        <v>0.74930555555555556</v>
      </c>
      <c r="L199" s="28" t="s">
        <v>321</v>
      </c>
      <c r="M199" s="31">
        <v>0.67361111111111116</v>
      </c>
      <c r="N199" s="38">
        <v>0.74236111111111114</v>
      </c>
      <c r="O199" s="31">
        <v>7.3611111111111113E-2</v>
      </c>
      <c r="P199" s="39">
        <v>30.5</v>
      </c>
      <c r="Q199" s="36">
        <v>7.9861111111111105E-2</v>
      </c>
      <c r="W199" s="30" t="s">
        <v>91</v>
      </c>
      <c r="X199" s="30"/>
      <c r="Y199" s="30"/>
      <c r="Z199" s="30"/>
      <c r="AA199" s="30"/>
      <c r="AB199" s="30"/>
      <c r="AC199" s="30"/>
    </row>
    <row r="200" spans="2:29">
      <c r="B200" s="47" t="s">
        <v>498</v>
      </c>
      <c r="C200" s="47"/>
      <c r="D200" s="36">
        <v>0.74652777777777779</v>
      </c>
      <c r="E200" s="36">
        <v>0.74652777777777779</v>
      </c>
      <c r="F200" s="36">
        <v>0.84236111111111112</v>
      </c>
      <c r="G200" s="36">
        <v>0.84236111111111112</v>
      </c>
      <c r="H200" s="30" t="s">
        <v>44</v>
      </c>
      <c r="I200" s="38">
        <v>0.75347222222222221</v>
      </c>
      <c r="J200" s="30" t="s">
        <v>29</v>
      </c>
      <c r="K200" s="38">
        <v>0.8354166666666667</v>
      </c>
      <c r="L200" s="28" t="s">
        <v>321</v>
      </c>
      <c r="M200" s="31">
        <v>0.76249999999999996</v>
      </c>
      <c r="N200" s="38">
        <v>0.82847222222222228</v>
      </c>
      <c r="O200" s="31">
        <v>7.1527777777777773E-2</v>
      </c>
      <c r="P200" s="39">
        <v>27.8</v>
      </c>
      <c r="Q200" s="36">
        <v>7.7083333333333337E-2</v>
      </c>
      <c r="R200" s="28"/>
      <c r="W200" s="30" t="s">
        <v>91</v>
      </c>
      <c r="X200" s="30"/>
      <c r="Y200" s="30"/>
      <c r="Z200" s="30"/>
      <c r="AA200" s="30"/>
      <c r="AB200" s="30"/>
      <c r="AC200" s="30"/>
    </row>
    <row r="201" spans="2:29">
      <c r="B201" s="47" t="s">
        <v>266</v>
      </c>
      <c r="C201" s="46"/>
      <c r="D201" s="31">
        <v>0.28611111111111109</v>
      </c>
      <c r="E201" s="31">
        <v>0.28611111111111109</v>
      </c>
      <c r="F201" s="31">
        <v>0.84236111111111112</v>
      </c>
      <c r="G201" s="31">
        <v>0.84236111111111112</v>
      </c>
      <c r="H201" s="30" t="s">
        <v>29</v>
      </c>
      <c r="I201" s="31">
        <v>0.29652777777777778</v>
      </c>
      <c r="J201" s="30" t="s">
        <v>29</v>
      </c>
      <c r="K201" s="38">
        <v>0.8354166666666667</v>
      </c>
      <c r="L201" s="28" t="s">
        <v>321</v>
      </c>
      <c r="M201" s="31">
        <v>0.30555555555555558</v>
      </c>
      <c r="N201" s="31">
        <v>0.82847222222222228</v>
      </c>
      <c r="O201" s="31">
        <v>0.32777777777777778</v>
      </c>
      <c r="P201" s="39">
        <v>123.7</v>
      </c>
      <c r="Q201" s="31">
        <v>0.375</v>
      </c>
      <c r="R201" s="28"/>
      <c r="W201" s="30" t="s">
        <v>91</v>
      </c>
      <c r="X201" s="30"/>
      <c r="Y201" s="30"/>
      <c r="Z201" s="30"/>
      <c r="AA201" s="30"/>
      <c r="AB201" s="30"/>
      <c r="AC201" s="30"/>
    </row>
    <row r="202" spans="2:29">
      <c r="B202" s="47" t="s">
        <v>608</v>
      </c>
      <c r="C202" s="47"/>
      <c r="D202" s="36">
        <v>0.25694444444444442</v>
      </c>
      <c r="E202" s="36">
        <v>0.25694444444444442</v>
      </c>
      <c r="F202" s="36">
        <v>0.35416666666666669</v>
      </c>
      <c r="G202" s="36">
        <v>0.35416666666666669</v>
      </c>
      <c r="H202" s="30" t="s">
        <v>29</v>
      </c>
      <c r="I202" s="38">
        <v>0.2673611111111111</v>
      </c>
      <c r="J202" s="30" t="s">
        <v>29</v>
      </c>
      <c r="K202" s="38">
        <v>0.34722222222222221</v>
      </c>
      <c r="L202" s="28" t="s">
        <v>269</v>
      </c>
      <c r="M202" s="31">
        <v>0.27152777777777776</v>
      </c>
      <c r="N202" s="38">
        <v>0.34513888888888888</v>
      </c>
      <c r="O202" s="31">
        <v>7.6388888888888895E-2</v>
      </c>
      <c r="P202" s="39">
        <v>30.6</v>
      </c>
      <c r="Q202" s="36">
        <v>7.9861111111111105E-2</v>
      </c>
      <c r="W202" s="30" t="s">
        <v>91</v>
      </c>
      <c r="X202" s="30"/>
      <c r="Y202" s="30"/>
      <c r="Z202" s="30"/>
      <c r="AA202" s="30"/>
      <c r="AB202" s="30"/>
      <c r="AC202" s="30"/>
    </row>
    <row r="203" spans="2:29">
      <c r="B203" s="47" t="s">
        <v>609</v>
      </c>
      <c r="C203" s="47"/>
      <c r="D203" s="36">
        <v>0.41944444444444445</v>
      </c>
      <c r="E203" s="36">
        <v>0.41944444444444445</v>
      </c>
      <c r="F203" s="36">
        <v>0.51875000000000004</v>
      </c>
      <c r="G203" s="36">
        <v>0.51875000000000004</v>
      </c>
      <c r="H203" s="30" t="s">
        <v>29</v>
      </c>
      <c r="I203" s="38">
        <v>0.42638888888888887</v>
      </c>
      <c r="J203" s="30" t="s">
        <v>29</v>
      </c>
      <c r="K203" s="38">
        <v>0.51180555555555551</v>
      </c>
      <c r="L203" s="28" t="s">
        <v>269</v>
      </c>
      <c r="M203" s="31">
        <v>0.43541666666666667</v>
      </c>
      <c r="N203" s="38">
        <v>0.50486111111111109</v>
      </c>
      <c r="O203" s="31">
        <v>7.7083333333333337E-2</v>
      </c>
      <c r="P203" s="39">
        <v>29.4</v>
      </c>
      <c r="Q203" s="36">
        <v>8.5416666666666669E-2</v>
      </c>
      <c r="W203" s="30" t="s">
        <v>91</v>
      </c>
      <c r="X203" s="30"/>
      <c r="Y203" s="30"/>
      <c r="Z203" s="30"/>
      <c r="AA203" s="30"/>
      <c r="AB203" s="30"/>
      <c r="AC203" s="30"/>
    </row>
    <row r="204" spans="2:29">
      <c r="B204" s="47" t="s">
        <v>610</v>
      </c>
      <c r="C204" s="47"/>
      <c r="D204" s="36">
        <v>0.53541666666666665</v>
      </c>
      <c r="E204" s="36">
        <v>0.53541666666666665</v>
      </c>
      <c r="F204" s="36">
        <v>0.61875000000000002</v>
      </c>
      <c r="G204" s="36">
        <v>0.61875000000000002</v>
      </c>
      <c r="H204" s="30" t="s">
        <v>29</v>
      </c>
      <c r="I204" s="38">
        <v>0.54236111111111107</v>
      </c>
      <c r="J204" s="30" t="s">
        <v>29</v>
      </c>
      <c r="K204" s="38">
        <v>0.6118055555555556</v>
      </c>
      <c r="L204" s="28" t="s">
        <v>269</v>
      </c>
      <c r="M204" s="31">
        <v>0.55138888888888893</v>
      </c>
      <c r="N204" s="38">
        <v>0.60486111111111107</v>
      </c>
      <c r="O204" s="31">
        <v>6.3194444444444442E-2</v>
      </c>
      <c r="P204" s="39">
        <v>25</v>
      </c>
      <c r="Q204" s="36">
        <v>6.9444444444444448E-2</v>
      </c>
      <c r="W204" s="30" t="s">
        <v>91</v>
      </c>
      <c r="X204" s="30"/>
      <c r="Y204" s="30"/>
      <c r="Z204" s="30"/>
      <c r="AA204" s="30"/>
      <c r="AB204" s="30"/>
      <c r="AC204" s="30"/>
    </row>
    <row r="205" spans="2:29">
      <c r="B205" s="47" t="s">
        <v>267</v>
      </c>
      <c r="C205" s="47"/>
      <c r="D205" s="36">
        <v>0.67013888888888884</v>
      </c>
      <c r="E205" s="36">
        <v>0.67013888888888884</v>
      </c>
      <c r="F205" s="36">
        <v>0.77361111111111114</v>
      </c>
      <c r="G205" s="36">
        <v>0.77361111111111114</v>
      </c>
      <c r="H205" s="30" t="s">
        <v>29</v>
      </c>
      <c r="I205" s="38">
        <v>0.67708333333333337</v>
      </c>
      <c r="J205" s="30" t="s">
        <v>44</v>
      </c>
      <c r="K205" s="38">
        <v>0.76666666666666672</v>
      </c>
      <c r="L205" s="28" t="s">
        <v>269</v>
      </c>
      <c r="M205" s="31">
        <v>0.68611111111111112</v>
      </c>
      <c r="N205" s="38">
        <v>0.75972222222222219</v>
      </c>
      <c r="O205" s="31">
        <v>7.5694444444444439E-2</v>
      </c>
      <c r="P205" s="39">
        <v>28.1</v>
      </c>
      <c r="Q205" s="36">
        <v>8.4722222222222227E-2</v>
      </c>
      <c r="W205" s="30" t="s">
        <v>91</v>
      </c>
      <c r="X205" s="30"/>
      <c r="Y205" s="30"/>
      <c r="Z205" s="30"/>
      <c r="AA205" s="30"/>
      <c r="AB205" s="30"/>
      <c r="AC205" s="30"/>
    </row>
    <row r="206" spans="2:29">
      <c r="B206" s="47" t="s">
        <v>499</v>
      </c>
      <c r="C206" s="47"/>
      <c r="D206" s="36">
        <v>0.76597222222222228</v>
      </c>
      <c r="E206" s="36">
        <v>0.76597222222222228</v>
      </c>
      <c r="F206" s="36">
        <v>0.86111111111111116</v>
      </c>
      <c r="G206" s="36">
        <v>0.86111111111111116</v>
      </c>
      <c r="H206" s="30" t="s">
        <v>44</v>
      </c>
      <c r="I206" s="38">
        <v>0.7729166666666667</v>
      </c>
      <c r="J206" s="30" t="s">
        <v>29</v>
      </c>
      <c r="K206" s="38">
        <v>0.85416666666666663</v>
      </c>
      <c r="L206" s="28" t="s">
        <v>269</v>
      </c>
      <c r="M206" s="31">
        <v>0.78194444444444444</v>
      </c>
      <c r="N206" s="38">
        <v>0.84722222222222221</v>
      </c>
      <c r="O206" s="31">
        <v>7.2222222222222215E-2</v>
      </c>
      <c r="P206" s="39">
        <v>30.5</v>
      </c>
      <c r="Q206" s="36">
        <v>8.0555555555555561E-2</v>
      </c>
      <c r="W206" s="30" t="s">
        <v>91</v>
      </c>
      <c r="X206" s="30"/>
      <c r="Y206" s="30"/>
      <c r="Z206" s="30"/>
      <c r="AA206" s="30"/>
      <c r="AB206" s="30"/>
      <c r="AC206" s="30"/>
    </row>
    <row r="207" spans="2:29">
      <c r="B207" s="47" t="s">
        <v>268</v>
      </c>
      <c r="C207" s="46"/>
      <c r="D207" s="31">
        <v>0.25694444444444442</v>
      </c>
      <c r="E207" s="31">
        <v>0.25694444444444442</v>
      </c>
      <c r="F207" s="36">
        <v>0.86111111111111116</v>
      </c>
      <c r="G207" s="36">
        <v>0.86111111111111116</v>
      </c>
      <c r="H207" s="30" t="s">
        <v>29</v>
      </c>
      <c r="I207" s="38">
        <v>0.2673611111111111</v>
      </c>
      <c r="J207" s="30" t="s">
        <v>29</v>
      </c>
      <c r="K207" s="38">
        <v>0.85416666666666663</v>
      </c>
      <c r="L207" s="28" t="s">
        <v>269</v>
      </c>
      <c r="M207" s="31">
        <v>0.27152777777777776</v>
      </c>
      <c r="N207" s="38">
        <v>0.84722222222222221</v>
      </c>
      <c r="O207" s="31">
        <v>0.36458333333333331</v>
      </c>
      <c r="P207" s="39">
        <v>143.6</v>
      </c>
      <c r="Q207" s="31">
        <v>0.41319444444444442</v>
      </c>
      <c r="R207" s="39"/>
      <c r="W207" s="30" t="s">
        <v>91</v>
      </c>
      <c r="X207" s="30"/>
      <c r="Y207" s="30"/>
      <c r="Z207" s="30"/>
      <c r="AA207" s="30"/>
      <c r="AB207" s="30"/>
      <c r="AC207" s="30"/>
    </row>
    <row r="208" spans="2:29">
      <c r="B208" s="47" t="s">
        <v>270</v>
      </c>
      <c r="C208" s="46"/>
      <c r="D208" s="31">
        <v>0.29375000000000001</v>
      </c>
      <c r="E208" s="31">
        <v>0.29375000000000001</v>
      </c>
      <c r="F208" s="36">
        <v>0.42291666666666666</v>
      </c>
      <c r="G208" s="36">
        <v>0.42291666666666666</v>
      </c>
      <c r="H208" s="30" t="s">
        <v>29</v>
      </c>
      <c r="I208" s="38">
        <v>0.30416666666666664</v>
      </c>
      <c r="J208" s="30" t="s">
        <v>29</v>
      </c>
      <c r="K208" s="38">
        <v>0.41597222222222224</v>
      </c>
      <c r="L208" s="28" t="s">
        <v>132</v>
      </c>
      <c r="M208" s="31">
        <v>0.31319444444444444</v>
      </c>
      <c r="N208" s="38">
        <v>0.40902777777777777</v>
      </c>
      <c r="O208" s="31">
        <v>0.10208333333333333</v>
      </c>
      <c r="P208" s="39">
        <v>34.1</v>
      </c>
      <c r="Q208" s="31">
        <v>0.12916666666666668</v>
      </c>
      <c r="R208" s="39">
        <v>143.6</v>
      </c>
      <c r="W208" s="30" t="s">
        <v>91</v>
      </c>
      <c r="X208" s="30"/>
      <c r="Y208" s="30"/>
      <c r="Z208" s="30"/>
      <c r="AA208" s="30"/>
      <c r="AB208" s="30"/>
      <c r="AC208" s="30"/>
    </row>
    <row r="209" spans="2:29">
      <c r="B209" s="47"/>
      <c r="C209" s="46"/>
      <c r="D209" s="31"/>
      <c r="E209" s="31"/>
      <c r="H209" s="30"/>
      <c r="I209" s="38"/>
      <c r="J209" s="30"/>
      <c r="K209" s="38"/>
      <c r="L209" s="28"/>
      <c r="M209" s="31"/>
      <c r="N209" s="38"/>
      <c r="O209" s="31"/>
      <c r="P209" s="39"/>
      <c r="Q209" s="31"/>
      <c r="R209" s="39"/>
      <c r="W209" s="30"/>
      <c r="X209" s="30"/>
      <c r="Y209" s="30"/>
      <c r="Z209" s="30"/>
      <c r="AA209" s="30"/>
      <c r="AB209" s="30"/>
      <c r="AC209" s="30"/>
    </row>
    <row r="210" spans="2:29">
      <c r="B210" s="47" t="s">
        <v>560</v>
      </c>
      <c r="C210" s="47"/>
      <c r="D210" s="36">
        <v>0.24027777777777778</v>
      </c>
      <c r="E210" s="36">
        <v>0.24027777777777778</v>
      </c>
      <c r="F210" s="36">
        <v>0.3659722222222222</v>
      </c>
      <c r="G210" s="36">
        <v>0.3659722222222222</v>
      </c>
      <c r="H210" s="30" t="s">
        <v>29</v>
      </c>
      <c r="I210" s="38">
        <v>0.25069444444444444</v>
      </c>
      <c r="J210" s="30" t="s">
        <v>29</v>
      </c>
      <c r="K210" s="38">
        <v>0.35902777777777778</v>
      </c>
      <c r="L210" s="28" t="s">
        <v>147</v>
      </c>
      <c r="M210" s="31">
        <v>0.25972222222222224</v>
      </c>
      <c r="N210" s="38">
        <v>0.35208333333333336</v>
      </c>
      <c r="O210" s="31">
        <v>9.7222222222222224E-2</v>
      </c>
      <c r="P210" s="39">
        <v>34.700000000000003</v>
      </c>
      <c r="Q210" s="36">
        <v>9.7222222222222224E-2</v>
      </c>
      <c r="W210" s="30" t="s">
        <v>91</v>
      </c>
      <c r="X210" s="30"/>
      <c r="Y210" s="30"/>
      <c r="Z210" s="30"/>
      <c r="AA210" s="30"/>
      <c r="AB210" s="30"/>
      <c r="AC210" s="30"/>
    </row>
    <row r="211" spans="2:29">
      <c r="B211" s="47" t="s">
        <v>273</v>
      </c>
      <c r="C211" s="47"/>
      <c r="D211" s="36">
        <v>0.40902777777777777</v>
      </c>
      <c r="E211" s="36">
        <v>0.40902777777777777</v>
      </c>
      <c r="F211" s="36">
        <v>0.52083333333333337</v>
      </c>
      <c r="G211" s="36">
        <v>0.52083333333333337</v>
      </c>
      <c r="H211" s="30" t="s">
        <v>29</v>
      </c>
      <c r="I211" s="38">
        <v>0.41597222222222224</v>
      </c>
      <c r="J211" s="30" t="s">
        <v>29</v>
      </c>
      <c r="K211" s="38">
        <v>0.51388888888888884</v>
      </c>
      <c r="L211" s="28" t="s">
        <v>147</v>
      </c>
      <c r="M211" s="31">
        <v>0.42499999999999999</v>
      </c>
      <c r="N211" s="38">
        <v>0.50694444444444442</v>
      </c>
      <c r="O211" s="31">
        <v>9.2361111111111116E-2</v>
      </c>
      <c r="P211" s="39">
        <v>42.8</v>
      </c>
      <c r="Q211" s="36">
        <v>9.7916666666666666E-2</v>
      </c>
      <c r="W211" s="30" t="s">
        <v>91</v>
      </c>
      <c r="X211" s="30"/>
      <c r="Y211" s="30"/>
      <c r="Z211" s="30"/>
      <c r="AA211" s="30"/>
      <c r="AB211" s="30"/>
      <c r="AC211" s="30"/>
    </row>
    <row r="212" spans="2:29">
      <c r="B212" s="47" t="s">
        <v>446</v>
      </c>
      <c r="C212" s="47"/>
      <c r="D212" s="36">
        <v>0.53263888888888888</v>
      </c>
      <c r="E212" s="36">
        <v>0.53263888888888888</v>
      </c>
      <c r="F212" s="36">
        <v>0.60624999999999996</v>
      </c>
      <c r="G212" s="36">
        <v>0.60624999999999996</v>
      </c>
      <c r="H212" s="30" t="s">
        <v>29</v>
      </c>
      <c r="I212" s="38">
        <v>0.5395833333333333</v>
      </c>
      <c r="J212" s="30" t="s">
        <v>29</v>
      </c>
      <c r="K212" s="38">
        <v>0.59930555555555554</v>
      </c>
      <c r="L212" s="28" t="s">
        <v>53</v>
      </c>
      <c r="M212" s="31">
        <v>0.54374999999999996</v>
      </c>
      <c r="N212" s="38">
        <v>0.59722222222222221</v>
      </c>
      <c r="O212" s="31">
        <v>5.9722222222222225E-2</v>
      </c>
      <c r="P212" s="39">
        <v>18.600000000000001</v>
      </c>
      <c r="Q212" s="36">
        <v>5.9722222222222225E-2</v>
      </c>
      <c r="W212" s="30" t="s">
        <v>91</v>
      </c>
      <c r="X212" s="30"/>
      <c r="Y212" s="30"/>
      <c r="Z212" s="30"/>
      <c r="AA212" s="30"/>
      <c r="AB212" s="30"/>
      <c r="AC212" s="30"/>
    </row>
    <row r="213" spans="2:29">
      <c r="B213" s="47" t="s">
        <v>426</v>
      </c>
      <c r="C213" s="47"/>
      <c r="D213" s="36">
        <v>0.67291666666666672</v>
      </c>
      <c r="E213" s="36">
        <v>0.67291666666666672</v>
      </c>
      <c r="F213" s="36">
        <v>0.77708333333333335</v>
      </c>
      <c r="G213" s="36">
        <v>0.77708333333333335</v>
      </c>
      <c r="H213" s="30" t="s">
        <v>29</v>
      </c>
      <c r="I213" s="38">
        <v>0.67986111111111114</v>
      </c>
      <c r="J213" s="30" t="s">
        <v>44</v>
      </c>
      <c r="K213" s="38">
        <v>0.77013888888888893</v>
      </c>
      <c r="L213" s="28" t="s">
        <v>134</v>
      </c>
      <c r="M213" s="31">
        <v>0.68888888888888888</v>
      </c>
      <c r="N213" s="38">
        <v>0.7631944444444444</v>
      </c>
      <c r="O213" s="31">
        <v>7.5694444444444439E-2</v>
      </c>
      <c r="P213" s="39">
        <v>26.9</v>
      </c>
      <c r="Q213" s="36">
        <v>8.5416666666666669E-2</v>
      </c>
      <c r="W213" s="30" t="s">
        <v>91</v>
      </c>
      <c r="X213" s="30"/>
      <c r="Y213" s="30"/>
      <c r="Z213" s="30"/>
      <c r="AA213" s="30"/>
      <c r="AB213" s="30"/>
      <c r="AC213" s="30"/>
    </row>
    <row r="214" spans="2:29">
      <c r="B214" s="47" t="s">
        <v>274</v>
      </c>
      <c r="C214" s="47"/>
      <c r="D214" s="36">
        <v>0.78611111111111109</v>
      </c>
      <c r="E214" s="36">
        <v>0.78611111111111109</v>
      </c>
      <c r="F214" s="36">
        <v>0.85069444444444442</v>
      </c>
      <c r="G214" s="36">
        <v>0.85069444444444442</v>
      </c>
      <c r="H214" s="30" t="s">
        <v>44</v>
      </c>
      <c r="I214" s="38">
        <v>0.79305555555555551</v>
      </c>
      <c r="J214" s="30" t="s">
        <v>45</v>
      </c>
      <c r="K214" s="38">
        <v>0.84375</v>
      </c>
      <c r="L214" s="28" t="s">
        <v>134</v>
      </c>
      <c r="M214" s="31">
        <v>0.80208333333333337</v>
      </c>
      <c r="N214" s="38">
        <v>0.83472222222222225</v>
      </c>
      <c r="O214" s="31">
        <v>4.583333333333333E-2</v>
      </c>
      <c r="P214" s="39">
        <v>19.3</v>
      </c>
      <c r="Q214" s="36">
        <v>4.583333333333333E-2</v>
      </c>
      <c r="W214" s="30" t="s">
        <v>91</v>
      </c>
      <c r="X214" s="30"/>
      <c r="Y214" s="30"/>
      <c r="Z214" s="30"/>
      <c r="AA214" s="30"/>
      <c r="AB214" s="30"/>
      <c r="AC214" s="30"/>
    </row>
    <row r="215" spans="2:29">
      <c r="B215" s="47" t="s">
        <v>272</v>
      </c>
      <c r="C215" s="47"/>
      <c r="D215" s="36">
        <v>0.78611111111111109</v>
      </c>
      <c r="E215" s="36">
        <v>0.78611111111111109</v>
      </c>
      <c r="F215" s="36">
        <v>0.86250000000000004</v>
      </c>
      <c r="G215" s="36">
        <v>0.86250000000000004</v>
      </c>
      <c r="H215" s="30" t="s">
        <v>44</v>
      </c>
      <c r="I215" s="38">
        <v>0.79305555555555551</v>
      </c>
      <c r="J215" s="30" t="s">
        <v>29</v>
      </c>
      <c r="K215" s="38">
        <v>0.85555555555555551</v>
      </c>
      <c r="L215" s="28" t="s">
        <v>134</v>
      </c>
      <c r="M215" s="31">
        <v>0.80208333333333337</v>
      </c>
      <c r="N215" s="38">
        <v>0.85555555555555551</v>
      </c>
      <c r="O215" s="31">
        <v>5.7638888888888892E-2</v>
      </c>
      <c r="P215" s="39">
        <v>26.3</v>
      </c>
      <c r="Q215" s="36">
        <v>5.7638888888888892E-2</v>
      </c>
      <c r="S215" s="28"/>
      <c r="T215" s="28"/>
      <c r="W215" s="30" t="s">
        <v>91</v>
      </c>
      <c r="X215" s="30"/>
      <c r="Y215" s="30"/>
      <c r="Z215" s="30"/>
      <c r="AA215" s="30"/>
      <c r="AB215" s="30"/>
      <c r="AC215" s="30"/>
    </row>
    <row r="216" spans="2:29">
      <c r="B216" s="47" t="s">
        <v>290</v>
      </c>
      <c r="C216" s="83"/>
      <c r="D216" s="36">
        <v>0.24027777777777778</v>
      </c>
      <c r="E216" s="36">
        <v>0.24027777777777778</v>
      </c>
      <c r="F216" s="36">
        <v>0.86250000000000004</v>
      </c>
      <c r="G216" s="36">
        <v>0.86250000000000004</v>
      </c>
      <c r="H216" s="30" t="s">
        <v>29</v>
      </c>
      <c r="I216" s="38">
        <v>0.2673611111111111</v>
      </c>
      <c r="J216" s="30" t="s">
        <v>29</v>
      </c>
      <c r="K216" s="38">
        <v>0.85555555555555551</v>
      </c>
      <c r="L216" s="28" t="s">
        <v>271</v>
      </c>
      <c r="M216" s="31">
        <v>0.25972222222222224</v>
      </c>
      <c r="N216" s="38">
        <v>0.85555555555555551</v>
      </c>
      <c r="O216" s="31">
        <v>0.38263888888888886</v>
      </c>
      <c r="P216" s="39">
        <v>149.30000000000001</v>
      </c>
      <c r="Q216" s="36">
        <v>0.4152777777777778</v>
      </c>
      <c r="W216" s="30" t="s">
        <v>91</v>
      </c>
      <c r="X216" s="30"/>
      <c r="Y216" s="30"/>
      <c r="Z216" s="30"/>
      <c r="AA216" s="30"/>
      <c r="AB216" s="30"/>
      <c r="AC216" s="30"/>
    </row>
    <row r="217" spans="2:29">
      <c r="B217" s="47" t="s">
        <v>349</v>
      </c>
      <c r="C217" s="46"/>
      <c r="D217" s="36">
        <v>0.24027777777777778</v>
      </c>
      <c r="E217" s="36">
        <v>0.24027777777777778</v>
      </c>
      <c r="F217" s="36">
        <v>0.85069444444444442</v>
      </c>
      <c r="G217" s="36">
        <v>0.85069444444444442</v>
      </c>
      <c r="H217" s="30" t="s">
        <v>29</v>
      </c>
      <c r="I217" s="38">
        <v>0.25069444444444444</v>
      </c>
      <c r="J217" s="30" t="s">
        <v>45</v>
      </c>
      <c r="K217" s="38">
        <v>0.84375</v>
      </c>
      <c r="L217" s="28" t="s">
        <v>271</v>
      </c>
      <c r="M217" s="31">
        <v>0.25972222222222224</v>
      </c>
      <c r="N217" s="38">
        <v>0.83472222222222225</v>
      </c>
      <c r="O217" s="31">
        <v>0.37083333333333335</v>
      </c>
      <c r="P217" s="39">
        <v>142.30000000000001</v>
      </c>
      <c r="Q217" s="36">
        <v>0.40347222222222223</v>
      </c>
      <c r="W217" s="30" t="s">
        <v>91</v>
      </c>
      <c r="X217" s="30"/>
      <c r="Y217" s="30"/>
      <c r="Z217" s="30"/>
      <c r="AA217" s="30"/>
      <c r="AB217" s="30"/>
      <c r="AC217" s="30"/>
    </row>
    <row r="218" spans="2:29">
      <c r="B218" s="47" t="s">
        <v>275</v>
      </c>
      <c r="C218" s="47"/>
      <c r="D218" s="36">
        <v>0.26666666666666666</v>
      </c>
      <c r="E218" s="36">
        <v>0.26666666666666666</v>
      </c>
      <c r="F218" s="36">
        <v>0.33819444444444446</v>
      </c>
      <c r="G218" s="36">
        <v>0.33819444444444446</v>
      </c>
      <c r="H218" s="30" t="s">
        <v>45</v>
      </c>
      <c r="I218" s="38">
        <v>0.27708333333333335</v>
      </c>
      <c r="J218" s="30" t="s">
        <v>44</v>
      </c>
      <c r="K218" s="38">
        <v>0.33124999999999999</v>
      </c>
      <c r="L218" s="28" t="s">
        <v>134</v>
      </c>
      <c r="M218" s="31">
        <v>0.28819444444444442</v>
      </c>
      <c r="N218" s="38">
        <v>0.32430555555555557</v>
      </c>
      <c r="O218" s="31">
        <v>4.9305555555555554E-2</v>
      </c>
      <c r="P218" s="39">
        <v>19.3</v>
      </c>
      <c r="Q218" s="36">
        <v>4.9305555555555554E-2</v>
      </c>
      <c r="W218" s="30" t="s">
        <v>91</v>
      </c>
      <c r="X218" s="30"/>
      <c r="Y218" s="30"/>
      <c r="Z218" s="30"/>
      <c r="AA218" s="30"/>
      <c r="AB218" s="30"/>
      <c r="AC218" s="30"/>
    </row>
    <row r="219" spans="2:29">
      <c r="B219" s="47" t="s">
        <v>276</v>
      </c>
      <c r="C219" s="47"/>
      <c r="D219" s="36">
        <v>0.25486111111111109</v>
      </c>
      <c r="E219" s="36">
        <v>0.25486111111111109</v>
      </c>
      <c r="F219" s="36">
        <v>0.33819444444444446</v>
      </c>
      <c r="G219" s="36">
        <v>0.33819444444444446</v>
      </c>
      <c r="H219" s="30" t="s">
        <v>29</v>
      </c>
      <c r="I219" s="38">
        <v>0.26527777777777778</v>
      </c>
      <c r="J219" s="30" t="s">
        <v>44</v>
      </c>
      <c r="K219" s="38">
        <v>0.33124999999999999</v>
      </c>
      <c r="L219" s="28" t="s">
        <v>134</v>
      </c>
      <c r="M219" s="31">
        <v>0.26527777777777778</v>
      </c>
      <c r="N219" s="38">
        <v>0.32430555555555557</v>
      </c>
      <c r="O219" s="31">
        <v>6.1111111111111109E-2</v>
      </c>
      <c r="P219" s="39">
        <v>26.3</v>
      </c>
      <c r="Q219" s="36">
        <v>6.1111111111111109E-2</v>
      </c>
      <c r="W219" s="30" t="s">
        <v>91</v>
      </c>
      <c r="X219" s="30"/>
      <c r="Y219" s="30"/>
      <c r="Z219" s="30"/>
      <c r="AA219" s="30"/>
      <c r="AB219" s="30"/>
      <c r="AC219" s="30"/>
    </row>
    <row r="220" spans="2:29">
      <c r="B220" s="47" t="s">
        <v>500</v>
      </c>
      <c r="C220" s="47"/>
      <c r="D220" s="36">
        <v>0.3347222222222222</v>
      </c>
      <c r="E220" s="36">
        <v>0.3347222222222222</v>
      </c>
      <c r="F220" s="36">
        <v>0.42638888888888887</v>
      </c>
      <c r="G220" s="36">
        <v>0.42638888888888887</v>
      </c>
      <c r="H220" s="30" t="s">
        <v>44</v>
      </c>
      <c r="I220" s="38">
        <v>0.34166666666666667</v>
      </c>
      <c r="J220" s="30" t="s">
        <v>29</v>
      </c>
      <c r="K220" s="38">
        <v>0.41944444444444445</v>
      </c>
      <c r="L220" s="28" t="s">
        <v>134</v>
      </c>
      <c r="M220" s="31">
        <v>0.35069444444444442</v>
      </c>
      <c r="N220" s="38">
        <v>0.41249999999999998</v>
      </c>
      <c r="O220" s="31">
        <v>6.805555555555555E-2</v>
      </c>
      <c r="P220" s="39">
        <v>29.3</v>
      </c>
      <c r="Q220" s="36">
        <v>7.2916666666666671E-2</v>
      </c>
      <c r="W220" s="30" t="s">
        <v>91</v>
      </c>
      <c r="X220" s="30"/>
      <c r="Y220" s="30"/>
      <c r="Z220" s="30"/>
      <c r="AA220" s="30"/>
      <c r="AB220" s="30"/>
      <c r="AC220" s="30"/>
    </row>
    <row r="221" spans="2:29">
      <c r="B221" s="47" t="s">
        <v>291</v>
      </c>
      <c r="C221" s="83"/>
      <c r="D221" s="36">
        <v>0.25486111111111109</v>
      </c>
      <c r="E221" s="36">
        <v>0.25486111111111109</v>
      </c>
      <c r="F221" s="36">
        <v>0.42638888888888887</v>
      </c>
      <c r="G221" s="36">
        <v>0.42638888888888887</v>
      </c>
      <c r="H221" s="30" t="s">
        <v>29</v>
      </c>
      <c r="I221" s="38">
        <v>0.26527777777777778</v>
      </c>
      <c r="J221" s="30" t="s">
        <v>29</v>
      </c>
      <c r="K221" s="38">
        <v>0.41944444444444445</v>
      </c>
      <c r="L221" s="28" t="s">
        <v>134</v>
      </c>
      <c r="M221" s="31">
        <v>0.26527777777777778</v>
      </c>
      <c r="N221" s="38">
        <v>0.41249999999999998</v>
      </c>
      <c r="O221" s="31">
        <v>0.12916666666666668</v>
      </c>
      <c r="P221" s="39">
        <v>55.6</v>
      </c>
      <c r="Q221" s="36">
        <v>0.15138888888888888</v>
      </c>
      <c r="W221" s="30" t="s">
        <v>91</v>
      </c>
      <c r="X221" s="30"/>
      <c r="Y221" s="30"/>
      <c r="Z221" s="30"/>
      <c r="AA221" s="30"/>
      <c r="AB221" s="30"/>
      <c r="AC221" s="30"/>
    </row>
    <row r="222" spans="2:29">
      <c r="B222" s="47" t="s">
        <v>277</v>
      </c>
      <c r="C222" s="46"/>
      <c r="D222" s="36">
        <v>0.26666666666666666</v>
      </c>
      <c r="E222" s="36">
        <v>0.26666666666666666</v>
      </c>
      <c r="F222" s="36">
        <v>0.42638888888888887</v>
      </c>
      <c r="G222" s="36">
        <v>0.42638888888888887</v>
      </c>
      <c r="H222" s="30" t="s">
        <v>45</v>
      </c>
      <c r="I222" s="38">
        <v>0.27708333333333335</v>
      </c>
      <c r="J222" s="30" t="s">
        <v>29</v>
      </c>
      <c r="K222" s="38">
        <v>0.41944444444444445</v>
      </c>
      <c r="L222" s="28" t="s">
        <v>134</v>
      </c>
      <c r="M222" s="31">
        <v>0.28819444444444442</v>
      </c>
      <c r="N222" s="38">
        <v>0.41249999999999998</v>
      </c>
      <c r="O222" s="31">
        <v>0.11736111111111111</v>
      </c>
      <c r="P222" s="39">
        <v>48.6</v>
      </c>
      <c r="Q222" s="36">
        <v>0.13958333333333334</v>
      </c>
      <c r="W222" s="30" t="s">
        <v>91</v>
      </c>
      <c r="X222" s="30"/>
      <c r="Y222" s="30"/>
      <c r="Z222" s="30"/>
      <c r="AA222" s="30"/>
      <c r="AB222" s="30"/>
      <c r="AC222" s="30"/>
    </row>
    <row r="223" spans="2:29">
      <c r="B223" s="47" t="s">
        <v>501</v>
      </c>
      <c r="C223" s="47"/>
      <c r="D223" s="36">
        <v>0.23472222222222222</v>
      </c>
      <c r="E223" s="36">
        <v>0.23472222222222222</v>
      </c>
      <c r="F223" s="36">
        <v>0.35694444444444445</v>
      </c>
      <c r="G223" s="36">
        <v>0.35694444444444445</v>
      </c>
      <c r="H223" s="30" t="s">
        <v>29</v>
      </c>
      <c r="I223" s="38">
        <v>0.24513888888888888</v>
      </c>
      <c r="J223" s="30" t="s">
        <v>44</v>
      </c>
      <c r="K223" s="38">
        <v>0.35</v>
      </c>
      <c r="L223" s="28">
        <v>1105</v>
      </c>
      <c r="M223" s="31">
        <v>0.25416666666666665</v>
      </c>
      <c r="N223" s="38">
        <v>0.34305555555555556</v>
      </c>
      <c r="O223" s="31">
        <v>9.6527777777777782E-2</v>
      </c>
      <c r="P223" s="39">
        <v>36.700000000000003</v>
      </c>
      <c r="Q223" s="36">
        <v>0.1</v>
      </c>
      <c r="W223" s="30" t="s">
        <v>91</v>
      </c>
      <c r="X223" s="30"/>
      <c r="Y223" s="30"/>
      <c r="Z223" s="30"/>
      <c r="AA223" s="30"/>
      <c r="AB223" s="30"/>
      <c r="AC223" s="30"/>
    </row>
    <row r="224" spans="2:29">
      <c r="B224" s="47" t="s">
        <v>427</v>
      </c>
      <c r="C224" s="47"/>
      <c r="D224" s="31" t="str">
        <f ca="1">IF($A$4="平日","8:41","8:36")</f>
        <v>8:41</v>
      </c>
      <c r="E224" s="31" t="str">
        <f ca="1">IF($A$4="平日","8:41","8:36")</f>
        <v>8:41</v>
      </c>
      <c r="F224" s="36">
        <v>0.46736111111111112</v>
      </c>
      <c r="G224" s="36">
        <v>0.46736111111111112</v>
      </c>
      <c r="H224" s="31" t="str">
        <f ca="1">IF($A$4="平日","北    浜","本    社")</f>
        <v>北    浜</v>
      </c>
      <c r="I224" s="38">
        <v>0.36875000000000002</v>
      </c>
      <c r="J224" s="30" t="s">
        <v>29</v>
      </c>
      <c r="K224" s="38">
        <v>0.46041666666666664</v>
      </c>
      <c r="L224" s="28">
        <v>1105</v>
      </c>
      <c r="M224" s="31">
        <v>0.37777777777777777</v>
      </c>
      <c r="N224" s="38">
        <v>0.45347222222222222</v>
      </c>
      <c r="O224" s="31" t="str">
        <f ca="1">IF($A$4="平日","1:53","2:00")</f>
        <v>1:53</v>
      </c>
      <c r="P224" s="39">
        <f ca="1">IF($A$4="平日",30.5,33)</f>
        <v>30.5</v>
      </c>
      <c r="Q224" s="31" t="str">
        <f ca="1">IF($A$4="平日","2:05","2:12")</f>
        <v>2:05</v>
      </c>
      <c r="W224" s="30" t="s">
        <v>91</v>
      </c>
      <c r="X224" s="30"/>
      <c r="Y224" s="30"/>
      <c r="Z224" s="30"/>
      <c r="AA224" s="30"/>
      <c r="AB224" s="30"/>
      <c r="AC224" s="30"/>
    </row>
    <row r="225" spans="2:29">
      <c r="B225" s="47" t="s">
        <v>428</v>
      </c>
      <c r="C225" s="47"/>
      <c r="D225" s="36">
        <v>0.62638888888888888</v>
      </c>
      <c r="E225" s="36">
        <v>0.62638888888888888</v>
      </c>
      <c r="F225" s="36">
        <v>0.73263888888888884</v>
      </c>
      <c r="G225" s="36">
        <v>0.73263888888888884</v>
      </c>
      <c r="H225" s="30" t="s">
        <v>29</v>
      </c>
      <c r="I225" s="38">
        <v>0.6333333333333333</v>
      </c>
      <c r="J225" s="30" t="s">
        <v>44</v>
      </c>
      <c r="K225" s="38">
        <v>0.72569444444444442</v>
      </c>
      <c r="L225" s="28">
        <v>1105</v>
      </c>
      <c r="M225" s="31">
        <v>0.64236111111111116</v>
      </c>
      <c r="N225" s="38">
        <v>0.71875</v>
      </c>
      <c r="O225" s="31">
        <v>7.9166666666666663E-2</v>
      </c>
      <c r="P225" s="39">
        <v>30.5</v>
      </c>
      <c r="Q225" s="36">
        <v>8.7499999999999994E-2</v>
      </c>
      <c r="W225" s="30" t="s">
        <v>91</v>
      </c>
      <c r="X225" s="30"/>
      <c r="Y225" s="30"/>
      <c r="Z225" s="30"/>
      <c r="AA225" s="30"/>
      <c r="AB225" s="30"/>
      <c r="AC225" s="30"/>
    </row>
    <row r="226" spans="2:29">
      <c r="B226" s="47" t="s">
        <v>278</v>
      </c>
      <c r="C226" s="47"/>
      <c r="D226" s="36">
        <v>0.74236111111111114</v>
      </c>
      <c r="E226" s="36">
        <v>0.74236111111111114</v>
      </c>
      <c r="F226" s="36">
        <v>0.8520833333333333</v>
      </c>
      <c r="G226" s="36">
        <v>0.8520833333333333</v>
      </c>
      <c r="H226" s="30" t="s">
        <v>44</v>
      </c>
      <c r="I226" s="38">
        <v>0.74930555555555556</v>
      </c>
      <c r="J226" s="30" t="s">
        <v>29</v>
      </c>
      <c r="K226" s="38">
        <v>0.84513888888888888</v>
      </c>
      <c r="L226" s="28">
        <v>1105</v>
      </c>
      <c r="M226" s="31">
        <v>0.7583333333333333</v>
      </c>
      <c r="N226" s="38">
        <v>0.83819444444444446</v>
      </c>
      <c r="O226" s="31">
        <v>8.3333333333333329E-2</v>
      </c>
      <c r="P226" s="39">
        <v>35.299999999999997</v>
      </c>
      <c r="Q226" s="36">
        <v>9.0972222222222218E-2</v>
      </c>
      <c r="R226" s="39"/>
      <c r="W226" s="30" t="s">
        <v>91</v>
      </c>
      <c r="X226" s="30"/>
      <c r="Y226" s="30"/>
      <c r="Z226" s="30"/>
      <c r="AA226" s="30"/>
      <c r="AB226" s="30"/>
      <c r="AC226" s="30"/>
    </row>
    <row r="227" spans="2:29">
      <c r="B227" s="47" t="s">
        <v>350</v>
      </c>
      <c r="C227" s="46"/>
      <c r="D227" s="31" t="str">
        <f ca="1">IF($A$4="平日","5:38","8:36")</f>
        <v>5:38</v>
      </c>
      <c r="E227" s="31" t="str">
        <f ca="1">IF($A$4="平日","5:38","8:36")</f>
        <v>5:38</v>
      </c>
      <c r="F227" s="36">
        <v>0.8520833333333333</v>
      </c>
      <c r="G227" s="36">
        <v>0.8520833333333333</v>
      </c>
      <c r="H227" s="30" t="s">
        <v>29</v>
      </c>
      <c r="I227" s="31" t="str">
        <f ca="1">IF($A$4="平日","5:53","8:51")</f>
        <v>5:53</v>
      </c>
      <c r="J227" s="30" t="s">
        <v>29</v>
      </c>
      <c r="K227" s="38">
        <v>0.84513888888888888</v>
      </c>
      <c r="L227" s="28">
        <v>1105</v>
      </c>
      <c r="M227" s="31" t="str">
        <f ca="1">IF($A$4="平日","6:06","9:04")</f>
        <v>6:06</v>
      </c>
      <c r="N227" s="38">
        <v>0.83819444444444446</v>
      </c>
      <c r="O227" s="31" t="str">
        <f ca="1">IF($A$4="平日","8:06","5:54")</f>
        <v>8:06</v>
      </c>
      <c r="P227" s="39">
        <f ca="1">IF($A$4="平日",133,98.8)</f>
        <v>133</v>
      </c>
      <c r="Q227" s="31" t="str">
        <f ca="1">IF($A$4="平日","9:11","6:54")</f>
        <v>9:11</v>
      </c>
      <c r="S227" s="28"/>
      <c r="T227" s="28"/>
      <c r="W227" s="30" t="s">
        <v>91</v>
      </c>
      <c r="X227" s="30"/>
      <c r="Y227" s="30"/>
      <c r="Z227" s="30"/>
      <c r="AA227" s="30"/>
      <c r="AB227" s="30"/>
      <c r="AC227" s="30"/>
    </row>
    <row r="228" spans="2:29">
      <c r="B228" s="47" t="s">
        <v>611</v>
      </c>
      <c r="C228" s="47"/>
      <c r="D228" s="36">
        <v>0.26111111111111113</v>
      </c>
      <c r="E228" s="36">
        <v>0.26111111111111113</v>
      </c>
      <c r="F228" s="36">
        <v>0.36388888888888887</v>
      </c>
      <c r="G228" s="36">
        <v>0.36388888888888887</v>
      </c>
      <c r="H228" s="30" t="s">
        <v>29</v>
      </c>
      <c r="I228" s="38">
        <v>0.27152777777777776</v>
      </c>
      <c r="J228" s="30" t="s">
        <v>29</v>
      </c>
      <c r="K228" s="38">
        <v>0.35694444444444445</v>
      </c>
      <c r="L228" s="28" t="s">
        <v>133</v>
      </c>
      <c r="M228" s="31">
        <v>0.28055555555555556</v>
      </c>
      <c r="N228" s="38">
        <v>0.35</v>
      </c>
      <c r="O228" s="31">
        <v>8.1250000000000003E-2</v>
      </c>
      <c r="P228" s="39">
        <v>33</v>
      </c>
      <c r="Q228" s="36">
        <v>8.5416666666666669E-2</v>
      </c>
      <c r="W228" s="30" t="s">
        <v>91</v>
      </c>
      <c r="X228" s="30"/>
      <c r="Y228" s="30"/>
      <c r="Z228" s="30"/>
      <c r="AA228" s="30"/>
      <c r="AB228" s="30"/>
      <c r="AC228" s="30"/>
    </row>
    <row r="229" spans="2:29">
      <c r="B229" s="47" t="s">
        <v>612</v>
      </c>
      <c r="C229" s="47"/>
      <c r="D229" s="36">
        <v>0.41041666666666665</v>
      </c>
      <c r="E229" s="36">
        <v>0.41041666666666665</v>
      </c>
      <c r="F229" s="36">
        <v>0.49375000000000002</v>
      </c>
      <c r="G229" s="36">
        <v>0.49375000000000002</v>
      </c>
      <c r="H229" s="30" t="s">
        <v>29</v>
      </c>
      <c r="I229" s="38">
        <v>0.41736111111111113</v>
      </c>
      <c r="J229" s="30" t="s">
        <v>29</v>
      </c>
      <c r="K229" s="38">
        <v>0.48680555555555555</v>
      </c>
      <c r="L229" s="28" t="s">
        <v>133</v>
      </c>
      <c r="M229" s="31">
        <v>0.42638888888888887</v>
      </c>
      <c r="N229" s="38">
        <v>0.47986111111111113</v>
      </c>
      <c r="O229" s="31">
        <v>6.3194444444444442E-2</v>
      </c>
      <c r="P229" s="39">
        <v>25</v>
      </c>
      <c r="Q229" s="36">
        <v>6.9444444444444448E-2</v>
      </c>
      <c r="R229" s="31"/>
      <c r="W229" s="30" t="s">
        <v>91</v>
      </c>
      <c r="X229" s="30"/>
      <c r="Y229" s="30"/>
      <c r="Z229" s="30"/>
      <c r="AA229" s="30"/>
      <c r="AB229" s="30"/>
      <c r="AC229" s="30"/>
    </row>
    <row r="230" spans="2:29">
      <c r="B230" s="47" t="s">
        <v>613</v>
      </c>
      <c r="C230" s="47"/>
      <c r="D230" s="36">
        <v>0.52569444444444446</v>
      </c>
      <c r="E230" s="36">
        <v>0.52569444444444446</v>
      </c>
      <c r="F230" s="36">
        <v>0.63749999999999996</v>
      </c>
      <c r="G230" s="36">
        <v>0.63749999999999996</v>
      </c>
      <c r="H230" s="30" t="s">
        <v>29</v>
      </c>
      <c r="I230" s="38">
        <v>0.53263888888888888</v>
      </c>
      <c r="J230" s="30" t="s">
        <v>29</v>
      </c>
      <c r="K230" s="38">
        <v>0.63055555555555554</v>
      </c>
      <c r="L230" s="28">
        <v>1106</v>
      </c>
      <c r="M230" s="31">
        <v>0.54166666666666663</v>
      </c>
      <c r="N230" s="38">
        <v>0.62361111111111112</v>
      </c>
      <c r="O230" s="31">
        <v>9.2361111111111116E-2</v>
      </c>
      <c r="P230" s="39">
        <v>42.8</v>
      </c>
      <c r="Q230" s="36">
        <v>9.7916666666666666E-2</v>
      </c>
      <c r="W230" s="30" t="s">
        <v>91</v>
      </c>
      <c r="X230" s="30"/>
      <c r="Y230" s="30"/>
      <c r="Z230" s="30"/>
      <c r="AA230" s="30"/>
      <c r="AB230" s="30"/>
      <c r="AC230" s="30"/>
    </row>
    <row r="231" spans="2:29">
      <c r="B231" s="47" t="s">
        <v>279</v>
      </c>
      <c r="C231" s="47"/>
      <c r="D231" s="36">
        <v>0.65069444444444446</v>
      </c>
      <c r="E231" s="36">
        <v>0.65069444444444446</v>
      </c>
      <c r="F231" s="36">
        <v>0.73819444444444449</v>
      </c>
      <c r="G231" s="36">
        <v>0.73819444444444449</v>
      </c>
      <c r="H231" s="30" t="s">
        <v>29</v>
      </c>
      <c r="I231" s="38">
        <v>0.65763888888888888</v>
      </c>
      <c r="J231" s="30" t="s">
        <v>29</v>
      </c>
      <c r="K231" s="38">
        <v>0.73124999999999996</v>
      </c>
      <c r="L231" s="28">
        <v>1106</v>
      </c>
      <c r="M231" s="31">
        <v>0.66666666666666663</v>
      </c>
      <c r="N231" s="38">
        <v>0.72430555555555554</v>
      </c>
      <c r="O231" s="31">
        <v>6.7361111111111108E-2</v>
      </c>
      <c r="P231" s="39">
        <v>23.8</v>
      </c>
      <c r="Q231" s="36">
        <v>7.3611111111111113E-2</v>
      </c>
      <c r="W231" s="30" t="s">
        <v>91</v>
      </c>
      <c r="X231" s="30"/>
      <c r="Y231" s="30"/>
      <c r="Z231" s="30"/>
      <c r="AA231" s="30"/>
      <c r="AB231" s="30"/>
      <c r="AC231" s="30"/>
    </row>
    <row r="232" spans="2:29">
      <c r="B232" s="47" t="s">
        <v>280</v>
      </c>
      <c r="C232" s="47"/>
      <c r="D232" s="36">
        <v>0.75138888888888888</v>
      </c>
      <c r="E232" s="36">
        <v>0.75138888888888888</v>
      </c>
      <c r="F232" s="36">
        <v>0.82430555555555551</v>
      </c>
      <c r="G232" s="36">
        <v>0.82430555555555551</v>
      </c>
      <c r="H232" s="30" t="s">
        <v>29</v>
      </c>
      <c r="I232" s="38">
        <v>0.7583333333333333</v>
      </c>
      <c r="J232" s="30" t="s">
        <v>45</v>
      </c>
      <c r="K232" s="38">
        <v>0.81736111111111109</v>
      </c>
      <c r="L232" s="28">
        <v>1106</v>
      </c>
      <c r="M232" s="31">
        <v>0.76736111111111116</v>
      </c>
      <c r="N232" s="38">
        <v>0.81736111111111109</v>
      </c>
      <c r="O232" s="31">
        <v>5.9027777777777776E-2</v>
      </c>
      <c r="P232" s="39">
        <v>20.9</v>
      </c>
      <c r="Q232" s="36">
        <v>5.9027777777777776E-2</v>
      </c>
      <c r="W232" s="30" t="s">
        <v>91</v>
      </c>
      <c r="X232" s="30"/>
      <c r="Y232" s="30"/>
      <c r="Z232" s="30"/>
      <c r="AA232" s="30"/>
      <c r="AB232" s="30"/>
      <c r="AC232" s="30"/>
    </row>
    <row r="233" spans="2:29">
      <c r="B233" s="47" t="s">
        <v>281</v>
      </c>
      <c r="C233" s="47"/>
      <c r="D233" s="36">
        <v>0.75138888888888899</v>
      </c>
      <c r="E233" s="36">
        <v>0.75138888888888899</v>
      </c>
      <c r="F233" s="36">
        <v>0.84861111111111109</v>
      </c>
      <c r="G233" s="36">
        <v>0.84861111111111109</v>
      </c>
      <c r="H233" s="30" t="s">
        <v>29</v>
      </c>
      <c r="I233" s="38">
        <v>0.7583333333333333</v>
      </c>
      <c r="J233" s="30" t="s">
        <v>29</v>
      </c>
      <c r="K233" s="38">
        <v>0.84166666666666667</v>
      </c>
      <c r="L233" s="28">
        <v>1106</v>
      </c>
      <c r="M233" s="31">
        <v>0.76736111111111116</v>
      </c>
      <c r="N233" s="38">
        <v>0.84166666666666667</v>
      </c>
      <c r="O233" s="31">
        <v>8.3333333333333329E-2</v>
      </c>
      <c r="P233" s="39">
        <v>35.5</v>
      </c>
      <c r="Q233" s="36">
        <v>8.3333333333333329E-2</v>
      </c>
      <c r="W233" s="30" t="s">
        <v>91</v>
      </c>
      <c r="X233" s="30"/>
      <c r="Y233" s="30"/>
      <c r="Z233" s="30"/>
      <c r="AA233" s="30"/>
      <c r="AB233" s="30"/>
      <c r="AC233" s="30"/>
    </row>
    <row r="234" spans="2:29">
      <c r="B234" s="47" t="s">
        <v>292</v>
      </c>
      <c r="C234" s="83"/>
      <c r="D234" s="36">
        <v>0.26111111111111113</v>
      </c>
      <c r="E234" s="36">
        <v>0.26111111111111113</v>
      </c>
      <c r="F234" s="36">
        <v>0.84861111111111109</v>
      </c>
      <c r="G234" s="36">
        <v>0.84861111111111109</v>
      </c>
      <c r="H234" s="30" t="s">
        <v>29</v>
      </c>
      <c r="I234" s="38">
        <v>0.2673611111111111</v>
      </c>
      <c r="J234" s="30" t="s">
        <v>29</v>
      </c>
      <c r="K234" s="38">
        <v>0.84166666666666667</v>
      </c>
      <c r="L234" s="28" t="s">
        <v>690</v>
      </c>
      <c r="M234" s="31">
        <v>0.27152777777777776</v>
      </c>
      <c r="N234" s="38">
        <v>0.84166666666666667</v>
      </c>
      <c r="O234" s="31">
        <v>0.38750000000000001</v>
      </c>
      <c r="P234" s="39">
        <v>160.1</v>
      </c>
      <c r="Q234" s="36">
        <v>0.42708333333333331</v>
      </c>
      <c r="W234" s="30" t="s">
        <v>91</v>
      </c>
      <c r="X234" s="30"/>
      <c r="Y234" s="30"/>
      <c r="Z234" s="30"/>
      <c r="AA234" s="30"/>
      <c r="AB234" s="30"/>
      <c r="AC234" s="30"/>
    </row>
    <row r="235" spans="2:29">
      <c r="B235" s="47" t="s">
        <v>351</v>
      </c>
      <c r="C235" s="46"/>
      <c r="D235" s="36">
        <v>0.26111111111111113</v>
      </c>
      <c r="E235" s="36">
        <v>0.26111111111111113</v>
      </c>
      <c r="F235" s="36">
        <v>0.82430555555555551</v>
      </c>
      <c r="G235" s="36">
        <v>0.82430555555555551</v>
      </c>
      <c r="H235" s="30" t="s">
        <v>29</v>
      </c>
      <c r="I235" s="38">
        <v>0.27152777777777776</v>
      </c>
      <c r="J235" s="30" t="s">
        <v>45</v>
      </c>
      <c r="K235" s="38">
        <v>0.81736111111111109</v>
      </c>
      <c r="L235" s="28" t="s">
        <v>690</v>
      </c>
      <c r="M235" s="31">
        <v>0.28055555555555556</v>
      </c>
      <c r="N235" s="38">
        <v>0.81736111111111109</v>
      </c>
      <c r="O235" s="31">
        <v>0.36319444444444443</v>
      </c>
      <c r="P235" s="39">
        <v>145.5</v>
      </c>
      <c r="Q235" s="36">
        <v>0.40277777777777779</v>
      </c>
      <c r="W235" s="30" t="s">
        <v>91</v>
      </c>
      <c r="X235" s="30"/>
      <c r="Y235" s="30"/>
      <c r="Z235" s="30"/>
      <c r="AA235" s="30"/>
      <c r="AB235" s="30"/>
      <c r="AC235" s="30"/>
    </row>
    <row r="236" spans="2:29">
      <c r="B236" s="47" t="s">
        <v>293</v>
      </c>
      <c r="C236" s="47"/>
      <c r="D236" s="36">
        <v>0.26874999999999999</v>
      </c>
      <c r="E236" s="36">
        <v>0.26874999999999999</v>
      </c>
      <c r="F236" s="36">
        <v>0.33888888888888891</v>
      </c>
      <c r="G236" s="36">
        <v>0.33888888888888891</v>
      </c>
      <c r="H236" s="30" t="s">
        <v>45</v>
      </c>
      <c r="I236" s="38">
        <v>0.27916666666666667</v>
      </c>
      <c r="J236" s="30" t="s">
        <v>29</v>
      </c>
      <c r="K236" s="38">
        <v>0.33194444444444443</v>
      </c>
      <c r="L236" s="28">
        <v>1106</v>
      </c>
      <c r="M236" s="31">
        <v>0.27916666666666667</v>
      </c>
      <c r="N236" s="38">
        <v>0.32500000000000001</v>
      </c>
      <c r="O236" s="31">
        <v>5.2777777777777778E-2</v>
      </c>
      <c r="P236" s="39">
        <v>21.4</v>
      </c>
      <c r="Q236" s="36">
        <v>5.2777777777777778E-2</v>
      </c>
      <c r="W236" s="30" t="s">
        <v>91</v>
      </c>
      <c r="X236" s="30"/>
      <c r="Y236" s="30"/>
      <c r="Z236" s="30"/>
      <c r="AA236" s="30"/>
      <c r="AB236" s="30"/>
      <c r="AC236" s="30"/>
    </row>
    <row r="237" spans="2:29">
      <c r="B237" s="47" t="s">
        <v>294</v>
      </c>
      <c r="C237" s="47"/>
      <c r="D237" s="36">
        <v>0.24236111111111111</v>
      </c>
      <c r="E237" s="36">
        <v>0.24236111111111111</v>
      </c>
      <c r="F237" s="36">
        <v>0.33888888888888891</v>
      </c>
      <c r="G237" s="36">
        <v>0.33888888888888891</v>
      </c>
      <c r="H237" s="30" t="s">
        <v>29</v>
      </c>
      <c r="I237" s="38">
        <v>0.25277777777777777</v>
      </c>
      <c r="J237" s="30" t="s">
        <v>29</v>
      </c>
      <c r="K237" s="38">
        <v>0.33194444444444443</v>
      </c>
      <c r="L237" s="28">
        <v>1106</v>
      </c>
      <c r="M237" s="31">
        <v>0.25277777777777777</v>
      </c>
      <c r="N237" s="38">
        <v>0.32500000000000001</v>
      </c>
      <c r="O237" s="31">
        <v>7.9166666666666663E-2</v>
      </c>
      <c r="P237" s="39">
        <v>36</v>
      </c>
      <c r="Q237" s="36">
        <v>7.9166666666666663E-2</v>
      </c>
      <c r="W237" s="30" t="s">
        <v>91</v>
      </c>
      <c r="X237" s="30"/>
      <c r="Y237" s="30"/>
      <c r="Z237" s="30"/>
      <c r="AA237" s="30"/>
      <c r="AB237" s="30"/>
      <c r="AC237" s="30"/>
    </row>
    <row r="238" spans="2:29">
      <c r="B238" s="47" t="s">
        <v>561</v>
      </c>
      <c r="D238" s="36">
        <v>0.36736111111111114</v>
      </c>
      <c r="E238" s="36">
        <v>0.36736111111111114</v>
      </c>
      <c r="F238" s="36">
        <v>0.45208333333333334</v>
      </c>
      <c r="G238" s="36">
        <v>0.45208333333333334</v>
      </c>
      <c r="H238" s="30" t="s">
        <v>29</v>
      </c>
      <c r="I238" s="37">
        <v>0.37430555555555556</v>
      </c>
      <c r="J238" s="30" t="s">
        <v>29</v>
      </c>
      <c r="K238" s="38">
        <v>0.44513888888888886</v>
      </c>
      <c r="L238" s="28">
        <v>1106</v>
      </c>
      <c r="M238" s="36">
        <v>0.38333333333333336</v>
      </c>
      <c r="N238" s="37">
        <v>0.43819444444444444</v>
      </c>
      <c r="O238" s="37">
        <v>6.3888888888888884E-2</v>
      </c>
      <c r="P238" s="39">
        <v>25</v>
      </c>
      <c r="Q238" s="36">
        <v>7.0833333333333331E-2</v>
      </c>
      <c r="W238" s="30" t="s">
        <v>91</v>
      </c>
      <c r="X238" s="30"/>
      <c r="Y238" s="30"/>
      <c r="Z238" s="30"/>
      <c r="AA238" s="30"/>
      <c r="AB238" s="30"/>
      <c r="AC238" s="30"/>
    </row>
    <row r="239" spans="2:29">
      <c r="B239" s="47" t="s">
        <v>225</v>
      </c>
      <c r="C239" s="83"/>
      <c r="D239" s="36">
        <v>0.24236111111111111</v>
      </c>
      <c r="E239" s="36">
        <v>0.24236111111111111</v>
      </c>
      <c r="F239" s="36">
        <v>0.45208333333333334</v>
      </c>
      <c r="G239" s="36">
        <v>0.45208333333333334</v>
      </c>
      <c r="H239" s="30" t="s">
        <v>29</v>
      </c>
      <c r="I239" s="38">
        <v>0.25277777777777777</v>
      </c>
      <c r="J239" s="30" t="s">
        <v>29</v>
      </c>
      <c r="K239" s="38">
        <v>0.44513888888888886</v>
      </c>
      <c r="L239" s="28">
        <v>1106</v>
      </c>
      <c r="M239" s="31">
        <v>0.25277777777777777</v>
      </c>
      <c r="N239" s="38">
        <v>0.43819444444444444</v>
      </c>
      <c r="O239" s="31">
        <v>0.14097222222222222</v>
      </c>
      <c r="P239" s="39">
        <v>61</v>
      </c>
      <c r="Q239" s="36">
        <v>0.16527777777777777</v>
      </c>
      <c r="W239" s="30" t="s">
        <v>91</v>
      </c>
      <c r="X239" s="30"/>
      <c r="Y239" s="30"/>
      <c r="Z239" s="30"/>
      <c r="AA239" s="30"/>
      <c r="AB239" s="30"/>
      <c r="AC239" s="30"/>
    </row>
    <row r="240" spans="2:29">
      <c r="B240" s="47" t="s">
        <v>352</v>
      </c>
      <c r="C240" s="46"/>
      <c r="D240" s="36">
        <v>0.26874999999999999</v>
      </c>
      <c r="E240" s="36">
        <v>0.26874999999999999</v>
      </c>
      <c r="F240" s="36">
        <v>0.45208333333333334</v>
      </c>
      <c r="G240" s="36">
        <v>0.45208333333333334</v>
      </c>
      <c r="H240" s="30" t="s">
        <v>45</v>
      </c>
      <c r="I240" s="38">
        <v>0.27916666666666667</v>
      </c>
      <c r="J240" s="30" t="s">
        <v>29</v>
      </c>
      <c r="K240" s="38">
        <v>0.44513888888888886</v>
      </c>
      <c r="L240" s="28">
        <v>1106</v>
      </c>
      <c r="M240" s="31">
        <v>0.27916666666666667</v>
      </c>
      <c r="N240" s="38">
        <v>0.43819444444444444</v>
      </c>
      <c r="O240" s="31">
        <v>0.11666666666666667</v>
      </c>
      <c r="P240" s="39">
        <v>46.4</v>
      </c>
      <c r="Q240" s="36">
        <v>0.14097222222222222</v>
      </c>
      <c r="R240" s="39">
        <v>145.5</v>
      </c>
      <c r="W240" s="30" t="s">
        <v>91</v>
      </c>
      <c r="X240" s="30"/>
      <c r="Y240" s="30"/>
      <c r="Z240" s="30"/>
      <c r="AA240" s="30"/>
      <c r="AB240" s="30"/>
      <c r="AC240" s="30"/>
    </row>
    <row r="241" spans="2:29">
      <c r="W241" s="30"/>
      <c r="X241" s="30"/>
      <c r="Y241" s="30"/>
      <c r="Z241" s="30"/>
      <c r="AA241" s="30"/>
      <c r="AB241" s="30"/>
      <c r="AC241" s="30"/>
    </row>
    <row r="242" spans="2:29">
      <c r="B242" s="47" t="s">
        <v>614</v>
      </c>
      <c r="C242" s="47"/>
      <c r="D242" s="36">
        <v>0.39374999999999999</v>
      </c>
      <c r="E242" s="36">
        <v>0.39374999999999999</v>
      </c>
      <c r="F242" s="36">
        <v>0.46736111111111112</v>
      </c>
      <c r="G242" s="36">
        <v>0.46736111111111112</v>
      </c>
      <c r="H242" s="30" t="s">
        <v>29</v>
      </c>
      <c r="I242" s="38">
        <v>0.40069444444444446</v>
      </c>
      <c r="J242" s="30" t="s">
        <v>29</v>
      </c>
      <c r="K242" s="38">
        <v>0.46041666666666664</v>
      </c>
      <c r="L242" s="28" t="s">
        <v>441</v>
      </c>
      <c r="M242" s="31">
        <v>0.40486111111111112</v>
      </c>
      <c r="N242" s="38">
        <v>0.45833333333333331</v>
      </c>
      <c r="O242" s="31">
        <v>5.9722222222222225E-2</v>
      </c>
      <c r="P242" s="39">
        <v>18.600000000000001</v>
      </c>
      <c r="Q242" s="36">
        <v>5.9722222222222225E-2</v>
      </c>
      <c r="W242" s="30" t="s">
        <v>91</v>
      </c>
      <c r="X242" s="30"/>
      <c r="Y242" s="30"/>
      <c r="Z242" s="30"/>
      <c r="AA242" s="30"/>
      <c r="AB242" s="30"/>
      <c r="AC242" s="30"/>
    </row>
    <row r="243" spans="2:29">
      <c r="B243" s="47" t="s">
        <v>502</v>
      </c>
      <c r="C243" s="47"/>
      <c r="D243" s="36">
        <v>0.49930555555555556</v>
      </c>
      <c r="E243" s="36">
        <v>0.49930555555555556</v>
      </c>
      <c r="F243" s="36">
        <v>0.61944444444444446</v>
      </c>
      <c r="G243" s="36">
        <v>0.61944444444444446</v>
      </c>
      <c r="H243" s="30" t="s">
        <v>29</v>
      </c>
      <c r="I243" s="38">
        <v>0.50624999999999998</v>
      </c>
      <c r="J243" s="30" t="s">
        <v>44</v>
      </c>
      <c r="K243" s="38">
        <v>0.61250000000000004</v>
      </c>
      <c r="L243" s="28" t="s">
        <v>209</v>
      </c>
      <c r="M243" s="31">
        <v>0.51527777777777772</v>
      </c>
      <c r="N243" s="38">
        <v>0.60555555555555551</v>
      </c>
      <c r="O243" s="31">
        <v>9.7916666666666666E-2</v>
      </c>
      <c r="P243" s="39">
        <v>43.4</v>
      </c>
      <c r="Q243" s="36">
        <v>0.10138888888888889</v>
      </c>
      <c r="W243" s="30" t="s">
        <v>91</v>
      </c>
      <c r="X243" s="30"/>
      <c r="Y243" s="30"/>
      <c r="Z243" s="30"/>
      <c r="AA243" s="30"/>
      <c r="AB243" s="30"/>
      <c r="AC243" s="30"/>
    </row>
    <row r="244" spans="2:29">
      <c r="B244" s="47" t="s">
        <v>295</v>
      </c>
      <c r="C244" s="47"/>
      <c r="D244" s="36">
        <v>0.61250000000000004</v>
      </c>
      <c r="E244" s="36">
        <v>0.61250000000000004</v>
      </c>
      <c r="F244" s="36">
        <v>0.72499999999999998</v>
      </c>
      <c r="G244" s="36">
        <v>0.72499999999999998</v>
      </c>
      <c r="H244" s="30" t="s">
        <v>44</v>
      </c>
      <c r="I244" s="38">
        <v>0.61944444444444446</v>
      </c>
      <c r="J244" s="30" t="s">
        <v>29</v>
      </c>
      <c r="K244" s="38">
        <v>0.71805555555555556</v>
      </c>
      <c r="L244" s="28" t="s">
        <v>209</v>
      </c>
      <c r="M244" s="31">
        <v>0.62847222222222221</v>
      </c>
      <c r="N244" s="38">
        <v>0.71111111111111114</v>
      </c>
      <c r="O244" s="31">
        <v>8.4722222222222227E-2</v>
      </c>
      <c r="P244" s="39">
        <v>35.299999999999997</v>
      </c>
      <c r="Q244" s="36">
        <v>9.375E-2</v>
      </c>
      <c r="W244" s="30" t="s">
        <v>91</v>
      </c>
      <c r="X244" s="30"/>
      <c r="Y244" s="30"/>
      <c r="Z244" s="30"/>
      <c r="AA244" s="30"/>
      <c r="AB244" s="30"/>
      <c r="AC244" s="30"/>
    </row>
    <row r="245" spans="2:29">
      <c r="B245" s="47" t="s">
        <v>503</v>
      </c>
      <c r="C245" s="47"/>
      <c r="D245" s="36">
        <v>0.74375000000000002</v>
      </c>
      <c r="E245" s="36">
        <v>0.74375000000000002</v>
      </c>
      <c r="F245" s="36">
        <v>0.83125000000000004</v>
      </c>
      <c r="G245" s="36">
        <v>0.83125000000000004</v>
      </c>
      <c r="H245" s="30" t="s">
        <v>29</v>
      </c>
      <c r="I245" s="38">
        <v>0.75069444444444444</v>
      </c>
      <c r="J245" s="30" t="s">
        <v>44</v>
      </c>
      <c r="K245" s="38">
        <v>0.82430555555555551</v>
      </c>
      <c r="L245" s="28" t="s">
        <v>209</v>
      </c>
      <c r="M245" s="31">
        <v>0.75972222222222219</v>
      </c>
      <c r="N245" s="38">
        <v>0.81736111111111109</v>
      </c>
      <c r="O245" s="31">
        <v>6.0416666666666667E-2</v>
      </c>
      <c r="P245" s="39">
        <v>22.5</v>
      </c>
      <c r="Q245" s="36">
        <v>6.8750000000000006E-2</v>
      </c>
      <c r="W245" s="30" t="s">
        <v>91</v>
      </c>
      <c r="X245" s="30"/>
      <c r="Y245" s="30"/>
      <c r="Z245" s="30"/>
      <c r="AA245" s="30"/>
      <c r="AB245" s="30"/>
      <c r="AC245" s="30"/>
    </row>
    <row r="246" spans="2:29">
      <c r="B246" s="47" t="s">
        <v>296</v>
      </c>
      <c r="C246" s="47"/>
      <c r="D246" s="36">
        <v>0.83125000000000004</v>
      </c>
      <c r="E246" s="36">
        <v>0.83124999999999993</v>
      </c>
      <c r="F246" s="36">
        <v>0.8847222222222223</v>
      </c>
      <c r="G246" s="36">
        <v>0.8847222222222223</v>
      </c>
      <c r="H246" s="30" t="s">
        <v>44</v>
      </c>
      <c r="I246" s="38">
        <v>0.83819444444444446</v>
      </c>
      <c r="J246" s="30" t="s">
        <v>136</v>
      </c>
      <c r="K246" s="38">
        <v>0.87777777777777777</v>
      </c>
      <c r="L246" s="28" t="s">
        <v>209</v>
      </c>
      <c r="M246" s="31">
        <v>0.84722222222222221</v>
      </c>
      <c r="N246" s="38">
        <v>0.87777777777777777</v>
      </c>
      <c r="O246" s="31">
        <v>3.4722222222222224E-2</v>
      </c>
      <c r="P246" s="39">
        <v>16.3</v>
      </c>
      <c r="Q246" s="36">
        <v>3.4722222222222224E-2</v>
      </c>
      <c r="W246" s="30" t="s">
        <v>91</v>
      </c>
      <c r="X246" s="30"/>
      <c r="Y246" s="30"/>
      <c r="Z246" s="30"/>
      <c r="AA246" s="30"/>
      <c r="AB246" s="30"/>
      <c r="AC246" s="30"/>
    </row>
    <row r="247" spans="2:29">
      <c r="B247" s="47" t="s">
        <v>259</v>
      </c>
      <c r="C247" s="47"/>
      <c r="D247" s="36">
        <v>0.83124999999999993</v>
      </c>
      <c r="E247" s="36">
        <v>0.83124999999999993</v>
      </c>
      <c r="F247" s="36">
        <v>0.90902777777777777</v>
      </c>
      <c r="G247" s="36">
        <v>0.90902777777777777</v>
      </c>
      <c r="H247" s="30" t="s">
        <v>44</v>
      </c>
      <c r="I247" s="38">
        <v>0.83819444444444446</v>
      </c>
      <c r="J247" s="30" t="s">
        <v>29</v>
      </c>
      <c r="K247" s="38">
        <v>0.90208333333333324</v>
      </c>
      <c r="L247" s="28" t="s">
        <v>209</v>
      </c>
      <c r="M247" s="31">
        <v>0.84722222222222221</v>
      </c>
      <c r="N247" s="38">
        <v>0.90208333333333335</v>
      </c>
      <c r="O247" s="31">
        <v>5.9027777777777776E-2</v>
      </c>
      <c r="P247" s="39">
        <v>32.9</v>
      </c>
      <c r="Q247" s="36">
        <v>5.9027777777777776E-2</v>
      </c>
      <c r="W247" s="30" t="s">
        <v>91</v>
      </c>
      <c r="X247" s="30"/>
      <c r="Y247" s="30"/>
      <c r="Z247" s="30"/>
      <c r="AA247" s="30"/>
      <c r="AB247" s="30"/>
      <c r="AC247" s="30"/>
    </row>
    <row r="248" spans="2:29">
      <c r="B248" s="47" t="s">
        <v>310</v>
      </c>
      <c r="C248" s="83"/>
      <c r="D248" s="36">
        <v>0.39374999999999999</v>
      </c>
      <c r="E248" s="36">
        <v>0.39374999999999999</v>
      </c>
      <c r="F248" s="36">
        <v>0.90902777777777777</v>
      </c>
      <c r="G248" s="36">
        <v>0.90902777777777777</v>
      </c>
      <c r="H248" s="30" t="s">
        <v>29</v>
      </c>
      <c r="I248" s="38">
        <v>0.40069444444444446</v>
      </c>
      <c r="J248" s="30" t="s">
        <v>29</v>
      </c>
      <c r="K248" s="38">
        <v>0.90208333333333324</v>
      </c>
      <c r="L248" s="28" t="s">
        <v>615</v>
      </c>
      <c r="M248" s="31">
        <v>0.40486111111111112</v>
      </c>
      <c r="N248" s="38">
        <v>0.90208333333333324</v>
      </c>
      <c r="O248" s="31">
        <v>0.36180555555555555</v>
      </c>
      <c r="P248" s="39">
        <v>152.69999999999999</v>
      </c>
      <c r="Q248" s="36">
        <v>0.39652777777777776</v>
      </c>
      <c r="W248" s="30" t="s">
        <v>91</v>
      </c>
      <c r="X248" s="30"/>
      <c r="Y248" s="30"/>
      <c r="Z248" s="30"/>
      <c r="AA248" s="30"/>
      <c r="AB248" s="30"/>
      <c r="AC248" s="30"/>
    </row>
    <row r="249" spans="2:29">
      <c r="B249" s="47" t="s">
        <v>359</v>
      </c>
      <c r="C249" s="46"/>
      <c r="D249" s="36">
        <v>0.39374999999999999</v>
      </c>
      <c r="E249" s="36">
        <v>0.39374999999999999</v>
      </c>
      <c r="F249" s="36">
        <v>0.88472222222222219</v>
      </c>
      <c r="G249" s="36">
        <v>0.8847222222222223</v>
      </c>
      <c r="H249" s="30" t="s">
        <v>29</v>
      </c>
      <c r="I249" s="38">
        <v>0.40069444444444446</v>
      </c>
      <c r="J249" s="30" t="s">
        <v>136</v>
      </c>
      <c r="K249" s="38">
        <v>0.87777777777777777</v>
      </c>
      <c r="L249" s="28" t="s">
        <v>615</v>
      </c>
      <c r="M249" s="31">
        <v>0.40486111111111112</v>
      </c>
      <c r="N249" s="38">
        <v>0.87777777777777777</v>
      </c>
      <c r="O249" s="31">
        <v>0.33750000000000002</v>
      </c>
      <c r="P249" s="39">
        <v>136.1</v>
      </c>
      <c r="Q249" s="36">
        <v>0.37222222222222223</v>
      </c>
      <c r="W249" s="30" t="s">
        <v>91</v>
      </c>
      <c r="X249" s="30"/>
      <c r="Y249" s="30"/>
      <c r="Z249" s="30"/>
      <c r="AA249" s="30"/>
      <c r="AB249" s="30"/>
      <c r="AC249" s="30"/>
    </row>
    <row r="250" spans="2:29">
      <c r="B250" s="47" t="s">
        <v>260</v>
      </c>
      <c r="C250" s="47"/>
      <c r="D250" s="36">
        <v>0.27083333333333331</v>
      </c>
      <c r="E250" s="36">
        <v>0.27083333333333331</v>
      </c>
      <c r="F250" s="36">
        <v>0.33263888888888887</v>
      </c>
      <c r="G250" s="36">
        <v>0.33263888888888887</v>
      </c>
      <c r="H250" s="30" t="s">
        <v>136</v>
      </c>
      <c r="I250" s="38">
        <v>0.28125</v>
      </c>
      <c r="J250" s="30" t="s">
        <v>44</v>
      </c>
      <c r="K250" s="38">
        <v>0.32569444444444445</v>
      </c>
      <c r="L250" s="28" t="s">
        <v>209</v>
      </c>
      <c r="M250" s="31">
        <v>0.28125</v>
      </c>
      <c r="N250" s="38">
        <v>0.31875000000000003</v>
      </c>
      <c r="O250" s="31">
        <v>3.9583333333333331E-2</v>
      </c>
      <c r="P250" s="39">
        <v>16.3</v>
      </c>
      <c r="Q250" s="36">
        <v>3.9583333333333331E-2</v>
      </c>
      <c r="W250" s="30" t="s">
        <v>91</v>
      </c>
      <c r="X250" s="30"/>
      <c r="Y250" s="30"/>
      <c r="Z250" s="30"/>
      <c r="AA250" s="30"/>
      <c r="AB250" s="30"/>
      <c r="AC250" s="30"/>
    </row>
    <row r="251" spans="2:29">
      <c r="B251" s="47" t="s">
        <v>261</v>
      </c>
      <c r="C251" s="47"/>
      <c r="D251" s="36">
        <v>0.24444444444444446</v>
      </c>
      <c r="E251" s="36">
        <v>0.24444444444444446</v>
      </c>
      <c r="F251" s="36">
        <v>0.33263888888888887</v>
      </c>
      <c r="G251" s="36">
        <v>0.33263888888888887</v>
      </c>
      <c r="H251" s="30" t="s">
        <v>29</v>
      </c>
      <c r="I251" s="38">
        <v>0.25486111111111109</v>
      </c>
      <c r="J251" s="30" t="s">
        <v>29</v>
      </c>
      <c r="K251" s="38">
        <v>0.32569444444444445</v>
      </c>
      <c r="L251" s="28" t="s">
        <v>209</v>
      </c>
      <c r="M251" s="31">
        <v>0.25486111111111109</v>
      </c>
      <c r="N251" s="38">
        <v>0.31875000000000003</v>
      </c>
      <c r="O251" s="31">
        <v>6.5972222222222224E-2</v>
      </c>
      <c r="P251" s="39">
        <v>32.9</v>
      </c>
      <c r="Q251" s="36">
        <v>6.5972222222222224E-2</v>
      </c>
      <c r="W251" s="30" t="s">
        <v>91</v>
      </c>
      <c r="X251" s="30"/>
      <c r="Y251" s="30"/>
      <c r="Z251" s="30"/>
      <c r="AA251" s="30"/>
      <c r="AB251" s="30"/>
      <c r="AC251" s="30"/>
    </row>
    <row r="252" spans="2:29">
      <c r="B252" s="47" t="s">
        <v>297</v>
      </c>
      <c r="C252" s="47"/>
      <c r="D252" s="36">
        <v>0.32222222222222224</v>
      </c>
      <c r="E252" s="36">
        <v>0.32222222222222224</v>
      </c>
      <c r="F252" s="36">
        <v>0.43819444444444444</v>
      </c>
      <c r="G252" s="36">
        <v>0.43819444444444444</v>
      </c>
      <c r="H252" s="30" t="s">
        <v>44</v>
      </c>
      <c r="I252" s="38">
        <v>0.32916666666666666</v>
      </c>
      <c r="J252" s="30" t="s">
        <v>29</v>
      </c>
      <c r="K252" s="38">
        <v>0.43125000000000002</v>
      </c>
      <c r="L252" s="28" t="s">
        <v>209</v>
      </c>
      <c r="M252" s="31">
        <v>0.33819444444444446</v>
      </c>
      <c r="N252" s="38">
        <v>0.42430555555555555</v>
      </c>
      <c r="O252" s="31">
        <v>8.819444444444445E-2</v>
      </c>
      <c r="P252" s="39">
        <v>40.299999999999997</v>
      </c>
      <c r="Q252" s="36">
        <v>9.7222222222222224E-2</v>
      </c>
      <c r="W252" s="30" t="s">
        <v>91</v>
      </c>
      <c r="X252" s="30"/>
      <c r="Y252" s="30"/>
      <c r="Z252" s="30"/>
      <c r="AA252" s="30"/>
      <c r="AB252" s="30"/>
      <c r="AC252" s="30"/>
    </row>
    <row r="253" spans="2:29">
      <c r="B253" s="47" t="s">
        <v>311</v>
      </c>
      <c r="C253" s="83"/>
      <c r="D253" s="36">
        <v>0.24444444444444446</v>
      </c>
      <c r="E253" s="36">
        <v>0.24444444444444446</v>
      </c>
      <c r="F253" s="36">
        <v>0.43819444444444444</v>
      </c>
      <c r="G253" s="36">
        <v>0.43819444444444444</v>
      </c>
      <c r="H253" s="30" t="s">
        <v>29</v>
      </c>
      <c r="I253" s="38">
        <v>0.25486111111111109</v>
      </c>
      <c r="J253" s="30" t="s">
        <v>29</v>
      </c>
      <c r="K253" s="38">
        <v>0.43125000000000002</v>
      </c>
      <c r="L253" s="28" t="s">
        <v>209</v>
      </c>
      <c r="M253" s="31">
        <v>0.25486111111111109</v>
      </c>
      <c r="N253" s="38">
        <v>0.42430555555555555</v>
      </c>
      <c r="O253" s="31">
        <v>0.15416666666666667</v>
      </c>
      <c r="P253" s="39">
        <v>73.2</v>
      </c>
      <c r="Q253" s="36">
        <v>0.18055555555555555</v>
      </c>
      <c r="W253" s="30" t="s">
        <v>91</v>
      </c>
      <c r="X253" s="30"/>
      <c r="Y253" s="30"/>
      <c r="Z253" s="30"/>
      <c r="AA253" s="30"/>
      <c r="AB253" s="30"/>
      <c r="AC253" s="30"/>
    </row>
    <row r="254" spans="2:29">
      <c r="B254" s="47" t="s">
        <v>360</v>
      </c>
      <c r="C254" s="46"/>
      <c r="D254" s="36">
        <v>0.27083333333333331</v>
      </c>
      <c r="E254" s="36">
        <v>0.27083333333333331</v>
      </c>
      <c r="F254" s="36">
        <v>0.43819444444444444</v>
      </c>
      <c r="G254" s="36">
        <v>0.43819444444444444</v>
      </c>
      <c r="H254" s="30" t="s">
        <v>136</v>
      </c>
      <c r="I254" s="38">
        <v>0.28125</v>
      </c>
      <c r="J254" s="30" t="s">
        <v>29</v>
      </c>
      <c r="K254" s="38">
        <v>0.43125000000000002</v>
      </c>
      <c r="L254" s="28" t="s">
        <v>209</v>
      </c>
      <c r="M254" s="31">
        <v>0.28125</v>
      </c>
      <c r="N254" s="38">
        <v>0.42430555555555555</v>
      </c>
      <c r="O254" s="31">
        <v>0.12777777777777777</v>
      </c>
      <c r="P254" s="39">
        <v>56.6</v>
      </c>
      <c r="Q254" s="36">
        <v>0.15416666666666667</v>
      </c>
      <c r="W254" s="30" t="s">
        <v>91</v>
      </c>
      <c r="X254" s="30"/>
      <c r="Y254" s="30"/>
      <c r="Z254" s="30"/>
      <c r="AA254" s="30"/>
      <c r="AB254" s="30"/>
      <c r="AC254" s="30"/>
    </row>
    <row r="255" spans="2:29">
      <c r="B255" s="47" t="s">
        <v>504</v>
      </c>
      <c r="C255" s="47"/>
      <c r="D255" s="36">
        <v>0.26180555555555557</v>
      </c>
      <c r="E255" s="36">
        <v>0.26180555555555557</v>
      </c>
      <c r="F255" s="36">
        <v>0.39513888888888887</v>
      </c>
      <c r="G255" s="36">
        <v>0.39513888888888887</v>
      </c>
      <c r="H255" s="30" t="s">
        <v>29</v>
      </c>
      <c r="I255" s="38">
        <v>0.2722222222222222</v>
      </c>
      <c r="J255" s="30" t="s">
        <v>29</v>
      </c>
      <c r="K255" s="38">
        <v>0.38819444444444445</v>
      </c>
      <c r="L255" s="28" t="s">
        <v>92</v>
      </c>
      <c r="M255" s="31">
        <v>0.28125</v>
      </c>
      <c r="N255" s="38">
        <v>0.38124999999999998</v>
      </c>
      <c r="O255" s="31">
        <v>0.11319444444444444</v>
      </c>
      <c r="P255" s="39">
        <v>41.8</v>
      </c>
      <c r="Q255" s="36">
        <v>0.11597222222222223</v>
      </c>
      <c r="W255" s="30" t="s">
        <v>91</v>
      </c>
      <c r="X255" s="30"/>
      <c r="Y255" s="30"/>
      <c r="Z255" s="30"/>
      <c r="AA255" s="30"/>
      <c r="AB255" s="30"/>
      <c r="AC255" s="30"/>
    </row>
    <row r="256" spans="2:29">
      <c r="B256" s="47" t="s">
        <v>616</v>
      </c>
      <c r="C256" s="47"/>
      <c r="D256" s="36">
        <v>0.47638888888888886</v>
      </c>
      <c r="E256" s="36">
        <v>0.47638888888888886</v>
      </c>
      <c r="F256" s="36">
        <v>0.57708333333333328</v>
      </c>
      <c r="G256" s="36">
        <v>0.57708333333333328</v>
      </c>
      <c r="H256" s="30" t="s">
        <v>29</v>
      </c>
      <c r="I256" s="38">
        <v>0.48333333333333334</v>
      </c>
      <c r="J256" s="30" t="s">
        <v>29</v>
      </c>
      <c r="K256" s="38">
        <v>0.57013888888888886</v>
      </c>
      <c r="L256" s="28" t="s">
        <v>94</v>
      </c>
      <c r="M256" s="31">
        <v>0.48333333333333334</v>
      </c>
      <c r="N256" s="38">
        <v>0.56319444444444444</v>
      </c>
      <c r="O256" s="31" t="str">
        <f ca="1">IF($A$4="平日","1:46","1:43")</f>
        <v>1:46</v>
      </c>
      <c r="P256" s="39">
        <f ca="1">IF($A$4="平日",26.8,26.8)</f>
        <v>26.8</v>
      </c>
      <c r="Q256" s="31" t="str">
        <f ca="1">IF($A$4="平日","2:08","2:05")</f>
        <v>2:08</v>
      </c>
      <c r="W256" s="30" t="s">
        <v>91</v>
      </c>
      <c r="X256" s="30"/>
      <c r="Y256" s="30"/>
      <c r="Z256" s="30"/>
      <c r="AA256" s="30"/>
      <c r="AB256" s="30"/>
      <c r="AC256" s="30"/>
    </row>
    <row r="257" spans="2:29">
      <c r="B257" s="47" t="s">
        <v>505</v>
      </c>
      <c r="C257" s="47"/>
      <c r="D257" s="36">
        <v>0.64375000000000004</v>
      </c>
      <c r="E257" s="36">
        <v>0.64375000000000004</v>
      </c>
      <c r="F257" s="36">
        <v>0.71736111111111112</v>
      </c>
      <c r="G257" s="36">
        <v>0.71736111111111112</v>
      </c>
      <c r="H257" s="30" t="s">
        <v>29</v>
      </c>
      <c r="I257" s="38">
        <v>0.65069444444444446</v>
      </c>
      <c r="J257" s="30" t="s">
        <v>29</v>
      </c>
      <c r="K257" s="38">
        <v>0.7104166666666667</v>
      </c>
      <c r="L257" s="28" t="s">
        <v>94</v>
      </c>
      <c r="M257" s="31">
        <v>0.65486111111111112</v>
      </c>
      <c r="N257" s="38">
        <v>0.70833333333333337</v>
      </c>
      <c r="O257" s="31">
        <v>5.9722222222222225E-2</v>
      </c>
      <c r="P257" s="39">
        <v>18.600000000000001</v>
      </c>
      <c r="Q257" s="36">
        <v>5.9722222222222225E-2</v>
      </c>
      <c r="W257" s="30" t="s">
        <v>91</v>
      </c>
      <c r="X257" s="30"/>
      <c r="Y257" s="30"/>
      <c r="Z257" s="30"/>
      <c r="AA257" s="30"/>
      <c r="AB257" s="30"/>
      <c r="AC257" s="30"/>
    </row>
    <row r="258" spans="2:29">
      <c r="B258" s="47" t="s">
        <v>617</v>
      </c>
      <c r="C258" s="47"/>
      <c r="D258" s="31">
        <v>0.74930555555555556</v>
      </c>
      <c r="E258" s="31">
        <v>0.74930555555555556</v>
      </c>
      <c r="F258" s="36">
        <v>0.87986111111111109</v>
      </c>
      <c r="G258" s="36">
        <v>0.87986111111111109</v>
      </c>
      <c r="H258" s="30" t="s">
        <v>29</v>
      </c>
      <c r="I258" s="38">
        <v>0.75624999999999998</v>
      </c>
      <c r="J258" s="30" t="s">
        <v>29</v>
      </c>
      <c r="K258" s="38">
        <v>0.87291666666666667</v>
      </c>
      <c r="L258" s="28" t="s">
        <v>94</v>
      </c>
      <c r="M258" s="31">
        <v>0.75624999999999998</v>
      </c>
      <c r="N258" s="38">
        <v>0.86597222222222225</v>
      </c>
      <c r="O258" s="31">
        <v>0.10347222222222222</v>
      </c>
      <c r="P258" s="39">
        <v>42.1</v>
      </c>
      <c r="Q258" s="36">
        <v>0.11874999999999999</v>
      </c>
      <c r="R258" s="31"/>
      <c r="S258" s="28"/>
      <c r="T258" s="28"/>
      <c r="W258" s="30" t="s">
        <v>91</v>
      </c>
      <c r="X258" s="30"/>
      <c r="Y258" s="30"/>
      <c r="Z258" s="30"/>
      <c r="AA258" s="30"/>
      <c r="AB258" s="30"/>
      <c r="AC258" s="30"/>
    </row>
    <row r="259" spans="2:29">
      <c r="B259" s="47" t="s">
        <v>506</v>
      </c>
      <c r="C259" s="47"/>
      <c r="D259" s="31">
        <v>0.76875000000000004</v>
      </c>
      <c r="E259" s="31">
        <v>0.76875000000000004</v>
      </c>
      <c r="F259" s="36">
        <v>0.87986111111111109</v>
      </c>
      <c r="G259" s="36">
        <v>0.87986111111111109</v>
      </c>
      <c r="H259" s="30" t="s">
        <v>29</v>
      </c>
      <c r="I259" s="38">
        <v>0.77569444444444446</v>
      </c>
      <c r="J259" s="30" t="s">
        <v>29</v>
      </c>
      <c r="K259" s="38">
        <v>0.87291666666666667</v>
      </c>
      <c r="L259" s="28" t="s">
        <v>94</v>
      </c>
      <c r="M259" s="31">
        <v>0.78472222222222221</v>
      </c>
      <c r="N259" s="38">
        <v>0.86597222222222225</v>
      </c>
      <c r="O259" s="31">
        <v>8.8888888888888892E-2</v>
      </c>
      <c r="P259" s="39">
        <v>39.200000000000003</v>
      </c>
      <c r="Q259" s="36">
        <v>9.7222222222222224E-2</v>
      </c>
      <c r="R259" s="31"/>
      <c r="S259" s="28"/>
      <c r="T259" s="28"/>
      <c r="W259" s="30" t="s">
        <v>91</v>
      </c>
      <c r="X259" s="30"/>
      <c r="Y259" s="30"/>
      <c r="Z259" s="30"/>
      <c r="AA259" s="30"/>
      <c r="AB259" s="30"/>
      <c r="AC259" s="30"/>
    </row>
    <row r="260" spans="2:29">
      <c r="B260" s="47" t="s">
        <v>298</v>
      </c>
      <c r="C260" s="46"/>
      <c r="D260" s="31" t="str">
        <f ca="1">IF($A$4="平日","6:17","11:26")</f>
        <v>6:17</v>
      </c>
      <c r="E260" s="31" t="str">
        <f ca="1">IF($A$4="平日","6:17","11:26")</f>
        <v>6:17</v>
      </c>
      <c r="F260" s="31">
        <v>0.87986111111111109</v>
      </c>
      <c r="G260" s="31">
        <v>0.87986111111111109</v>
      </c>
      <c r="H260" s="30" t="s">
        <v>29</v>
      </c>
      <c r="I260" s="31" t="str">
        <f ca="1">IF($A$4="平日","6:32","11:36")</f>
        <v>6:32</v>
      </c>
      <c r="J260" s="30" t="s">
        <v>29</v>
      </c>
      <c r="K260" s="38">
        <v>0.87291666666666667</v>
      </c>
      <c r="L260" s="30" t="str">
        <f ca="1">IF($A$4="平日","1005    1057","1057")</f>
        <v>1005    1057</v>
      </c>
      <c r="M260" s="31" t="str">
        <f ca="1">IF($A$4="平日","6:45","11:36")</f>
        <v>6:45</v>
      </c>
      <c r="N260" s="31">
        <v>0.86597222222222225</v>
      </c>
      <c r="O260" s="31" t="str">
        <f ca="1">IF($A$4="平日","8:24","5:17")</f>
        <v>8:24</v>
      </c>
      <c r="P260" s="40">
        <f ca="1">IF($A$4="平日",129.3,87.5)</f>
        <v>129.30000000000001</v>
      </c>
      <c r="Q260" s="31" t="str">
        <f ca="1">IF($A$4="平日","9:37","6:11")</f>
        <v>9:37</v>
      </c>
      <c r="W260" s="30" t="s">
        <v>91</v>
      </c>
      <c r="X260" s="30"/>
      <c r="Y260" s="30"/>
      <c r="Z260" s="30"/>
      <c r="AA260" s="30"/>
      <c r="AB260" s="30"/>
      <c r="AC260" s="30"/>
    </row>
    <row r="261" spans="2:29">
      <c r="B261" s="47" t="s">
        <v>507</v>
      </c>
      <c r="C261" s="47"/>
      <c r="D261" s="36">
        <v>0.25833333333333336</v>
      </c>
      <c r="E261" s="36">
        <v>0.25833333333333336</v>
      </c>
      <c r="F261" s="36">
        <v>0.36458333333333331</v>
      </c>
      <c r="G261" s="36">
        <v>0.36458333333333331</v>
      </c>
      <c r="H261" s="30" t="s">
        <v>29</v>
      </c>
      <c r="I261" s="38">
        <v>0.26874999999999999</v>
      </c>
      <c r="J261" s="30" t="s">
        <v>29</v>
      </c>
      <c r="K261" s="38">
        <v>0.39930555555555558</v>
      </c>
      <c r="L261" s="28" t="s">
        <v>139</v>
      </c>
      <c r="M261" s="31">
        <v>0.27777777777777779</v>
      </c>
      <c r="N261" s="38">
        <v>0.35069444444444442</v>
      </c>
      <c r="O261" s="31">
        <v>8.6805555555555552E-2</v>
      </c>
      <c r="P261" s="39">
        <v>30.3</v>
      </c>
      <c r="Q261" s="36">
        <v>8.8888888888888892E-2</v>
      </c>
      <c r="W261" s="30" t="s">
        <v>91</v>
      </c>
      <c r="X261" s="30"/>
      <c r="Y261" s="30"/>
      <c r="Z261" s="30"/>
      <c r="AA261" s="30"/>
      <c r="AB261" s="30"/>
      <c r="AC261" s="30"/>
    </row>
    <row r="262" spans="2:29">
      <c r="B262" s="47" t="s">
        <v>618</v>
      </c>
      <c r="C262" s="47"/>
      <c r="D262" s="31">
        <v>0.43333333333333335</v>
      </c>
      <c r="E262" s="31">
        <v>0.43333333333333335</v>
      </c>
      <c r="F262" s="36">
        <v>0.56944444444444442</v>
      </c>
      <c r="G262" s="36">
        <v>0.56944444444444442</v>
      </c>
      <c r="H262" s="30" t="s">
        <v>29</v>
      </c>
      <c r="I262" s="38">
        <v>0.44027777777777777</v>
      </c>
      <c r="J262" s="30" t="s">
        <v>29</v>
      </c>
      <c r="K262" s="38">
        <v>0.5625</v>
      </c>
      <c r="L262" s="28" t="s">
        <v>139</v>
      </c>
      <c r="M262" s="31">
        <v>0.44027777777777777</v>
      </c>
      <c r="N262" s="38">
        <v>0.5625</v>
      </c>
      <c r="O262" s="31">
        <v>0.10833333333333334</v>
      </c>
      <c r="P262" s="39">
        <v>39.799999999999997</v>
      </c>
      <c r="Q262" s="36">
        <v>0.11388888888888889</v>
      </c>
      <c r="W262" s="30" t="s">
        <v>91</v>
      </c>
      <c r="X262" s="30"/>
      <c r="Y262" s="30"/>
      <c r="Z262" s="30"/>
      <c r="AA262" s="30"/>
      <c r="AB262" s="30"/>
      <c r="AC262" s="30"/>
    </row>
    <row r="263" spans="2:29">
      <c r="B263" s="47" t="s">
        <v>429</v>
      </c>
      <c r="C263" s="47"/>
      <c r="D263" s="36">
        <v>0.58472222222222225</v>
      </c>
      <c r="E263" s="36">
        <v>0.58472222222222225</v>
      </c>
      <c r="F263" s="36">
        <v>0.69027777777777777</v>
      </c>
      <c r="G263" s="36">
        <v>0.69027777777777777</v>
      </c>
      <c r="H263" s="30" t="s">
        <v>29</v>
      </c>
      <c r="I263" s="38">
        <v>0.59166666666666667</v>
      </c>
      <c r="J263" s="30" t="s">
        <v>29</v>
      </c>
      <c r="K263" s="38">
        <v>0.68333333333333335</v>
      </c>
      <c r="L263" s="28" t="s">
        <v>139</v>
      </c>
      <c r="M263" s="31">
        <v>0.60069444444444442</v>
      </c>
      <c r="N263" s="38">
        <v>0.67638888888888893</v>
      </c>
      <c r="O263" s="31">
        <v>8.3333333333333329E-2</v>
      </c>
      <c r="P263" s="39">
        <v>33</v>
      </c>
      <c r="Q263" s="36">
        <v>9.166666666666666E-2</v>
      </c>
      <c r="W263" s="30" t="s">
        <v>91</v>
      </c>
      <c r="X263" s="30"/>
      <c r="Y263" s="30"/>
      <c r="Z263" s="30"/>
      <c r="AA263" s="30"/>
      <c r="AB263" s="30"/>
      <c r="AC263" s="30"/>
    </row>
    <row r="264" spans="2:29">
      <c r="B264" s="47" t="s">
        <v>299</v>
      </c>
      <c r="C264" s="47"/>
      <c r="D264" s="36">
        <v>0.71319444444444446</v>
      </c>
      <c r="E264" s="36">
        <v>0.71319444444444446</v>
      </c>
      <c r="F264" s="36">
        <v>0.84166666666666667</v>
      </c>
      <c r="G264" s="36">
        <v>0.84166666666666667</v>
      </c>
      <c r="H264" s="30" t="s">
        <v>29</v>
      </c>
      <c r="I264" s="38">
        <v>0.72013888888888888</v>
      </c>
      <c r="J264" s="30" t="s">
        <v>29</v>
      </c>
      <c r="K264" s="38">
        <v>0.83472222222222225</v>
      </c>
      <c r="L264" s="28" t="s">
        <v>139</v>
      </c>
      <c r="M264" s="31">
        <v>0.72916666666666663</v>
      </c>
      <c r="N264" s="38">
        <v>0.82777777777777772</v>
      </c>
      <c r="O264" s="31">
        <v>9.6527777777777782E-2</v>
      </c>
      <c r="P264" s="39">
        <v>34.1</v>
      </c>
      <c r="Q264" s="36">
        <v>0.10277777777777777</v>
      </c>
      <c r="W264" s="30" t="s">
        <v>91</v>
      </c>
      <c r="X264" s="30"/>
      <c r="Y264" s="30"/>
      <c r="Z264" s="30"/>
      <c r="AA264" s="30"/>
      <c r="AB264" s="30"/>
      <c r="AC264" s="30"/>
    </row>
    <row r="265" spans="2:29">
      <c r="B265" s="47" t="s">
        <v>300</v>
      </c>
      <c r="C265" s="46"/>
      <c r="D265" s="31">
        <v>0.25833333333333336</v>
      </c>
      <c r="E265" s="31">
        <v>0.25833333333333336</v>
      </c>
      <c r="F265" s="36">
        <v>0.84166666666666667</v>
      </c>
      <c r="G265" s="36">
        <v>0.84166666666666667</v>
      </c>
      <c r="H265" s="30" t="s">
        <v>29</v>
      </c>
      <c r="I265" s="31">
        <v>0.26874999999999999</v>
      </c>
      <c r="J265" s="30" t="s">
        <v>29</v>
      </c>
      <c r="K265" s="38">
        <v>0.83472222222222225</v>
      </c>
      <c r="L265" s="28" t="s">
        <v>139</v>
      </c>
      <c r="M265" s="31">
        <v>0.27777777777777779</v>
      </c>
      <c r="N265" s="38">
        <v>0.82777777777777772</v>
      </c>
      <c r="O265" s="31">
        <v>0.37430555555555556</v>
      </c>
      <c r="P265" s="39">
        <v>137.19999999999999</v>
      </c>
      <c r="Q265" s="31">
        <v>0.41388888888888886</v>
      </c>
      <c r="W265" s="30" t="s">
        <v>91</v>
      </c>
      <c r="X265" s="30"/>
      <c r="Y265" s="30"/>
      <c r="Z265" s="30"/>
      <c r="AA265" s="30"/>
      <c r="AB265" s="30"/>
      <c r="AC265" s="30"/>
    </row>
    <row r="266" spans="2:29">
      <c r="B266" s="47" t="s">
        <v>301</v>
      </c>
      <c r="C266" s="46"/>
      <c r="D266" s="36">
        <v>0.25347222222222221</v>
      </c>
      <c r="E266" s="36">
        <v>0.25347222222222221</v>
      </c>
      <c r="F266" s="36">
        <v>0.375</v>
      </c>
      <c r="G266" s="36">
        <v>0.375</v>
      </c>
      <c r="H266" s="30" t="s">
        <v>29</v>
      </c>
      <c r="I266" s="38">
        <v>0.2638888888888889</v>
      </c>
      <c r="J266" s="30" t="s">
        <v>29</v>
      </c>
      <c r="K266" s="38">
        <v>0.36805555555555558</v>
      </c>
      <c r="L266" s="28" t="s">
        <v>684</v>
      </c>
      <c r="M266" s="31">
        <v>0.27291666666666664</v>
      </c>
      <c r="N266" s="38">
        <v>0.3611111111111111</v>
      </c>
      <c r="O266" s="31">
        <v>0.10138888888888889</v>
      </c>
      <c r="P266" s="39">
        <v>37.799999999999997</v>
      </c>
      <c r="Q266" s="36">
        <v>0.12152777777777778</v>
      </c>
      <c r="R266" s="39">
        <v>137.19999999999999</v>
      </c>
      <c r="W266" s="30" t="s">
        <v>91</v>
      </c>
      <c r="X266" s="30"/>
      <c r="Y266" s="30"/>
      <c r="Z266" s="30"/>
      <c r="AA266" s="30"/>
      <c r="AB266" s="30"/>
      <c r="AC266" s="30"/>
    </row>
    <row r="267" spans="2:29">
      <c r="W267" s="30"/>
      <c r="X267" s="30"/>
      <c r="Y267" s="30"/>
      <c r="Z267" s="30"/>
      <c r="AA267" s="30"/>
      <c r="AB267" s="30"/>
      <c r="AC267" s="30"/>
    </row>
    <row r="268" spans="2:29">
      <c r="B268" s="47" t="s">
        <v>508</v>
      </c>
      <c r="C268" s="47"/>
      <c r="D268" s="36">
        <v>0.32430555555555557</v>
      </c>
      <c r="E268" s="36">
        <v>0.32430555555555557</v>
      </c>
      <c r="F268" s="36">
        <v>0.43194444444444446</v>
      </c>
      <c r="G268" s="36">
        <v>0.43194444444444446</v>
      </c>
      <c r="H268" s="30" t="s">
        <v>44</v>
      </c>
      <c r="I268" s="38">
        <v>0.3347222222222222</v>
      </c>
      <c r="J268" s="30" t="s">
        <v>29</v>
      </c>
      <c r="K268" s="38">
        <v>0.42499999999999999</v>
      </c>
      <c r="L268" s="28" t="s">
        <v>138</v>
      </c>
      <c r="M268" s="31">
        <v>0.34375</v>
      </c>
      <c r="N268" s="38">
        <v>0.41805555555555557</v>
      </c>
      <c r="O268" s="31">
        <v>8.1944444444444445E-2</v>
      </c>
      <c r="P268" s="39">
        <v>29.4</v>
      </c>
      <c r="Q268" s="36">
        <v>9.0277777777777776E-2</v>
      </c>
      <c r="W268" s="30" t="s">
        <v>91</v>
      </c>
      <c r="X268" s="30"/>
      <c r="Y268" s="30"/>
      <c r="Z268" s="30"/>
      <c r="AA268" s="30"/>
      <c r="AB268" s="30"/>
      <c r="AC268" s="30"/>
    </row>
    <row r="269" spans="2:29">
      <c r="B269" s="47" t="s">
        <v>509</v>
      </c>
      <c r="C269" s="47"/>
      <c r="D269" s="36">
        <v>0.47986111111111113</v>
      </c>
      <c r="E269" s="36">
        <v>0.47986111111111113</v>
      </c>
      <c r="F269" s="36">
        <v>0.57499999999999996</v>
      </c>
      <c r="G269" s="36">
        <v>0.57499999999999996</v>
      </c>
      <c r="H269" s="30" t="s">
        <v>29</v>
      </c>
      <c r="I269" s="38">
        <v>0.48680555555555555</v>
      </c>
      <c r="J269" s="30" t="s">
        <v>44</v>
      </c>
      <c r="K269" s="38">
        <v>0.56805555555555554</v>
      </c>
      <c r="L269" s="28" t="s">
        <v>141</v>
      </c>
      <c r="M269" s="31">
        <v>0.49583333333333335</v>
      </c>
      <c r="N269" s="38">
        <v>0.56111111111111112</v>
      </c>
      <c r="O269" s="31">
        <v>6.9444444444444448E-2</v>
      </c>
      <c r="P269" s="39">
        <v>27.8</v>
      </c>
      <c r="Q269" s="36">
        <v>7.6388888888888895E-2</v>
      </c>
      <c r="W269" s="30" t="s">
        <v>91</v>
      </c>
      <c r="X269" s="30"/>
      <c r="Y269" s="30"/>
      <c r="Z269" s="30"/>
      <c r="AA269" s="30"/>
      <c r="AB269" s="30"/>
      <c r="AC269" s="30"/>
    </row>
    <row r="270" spans="2:29">
      <c r="B270" s="47" t="s">
        <v>510</v>
      </c>
      <c r="C270" s="47"/>
      <c r="D270" s="36">
        <v>0.57291666666666663</v>
      </c>
      <c r="E270" s="36">
        <v>0.57291666666666663</v>
      </c>
      <c r="F270" s="36">
        <v>0.66041666666666665</v>
      </c>
      <c r="G270" s="36">
        <v>0.66041666666666665</v>
      </c>
      <c r="H270" s="30" t="s">
        <v>44</v>
      </c>
      <c r="I270" s="38">
        <v>0.57986111111111116</v>
      </c>
      <c r="J270" s="30" t="s">
        <v>29</v>
      </c>
      <c r="K270" s="38">
        <v>0.65347222222222223</v>
      </c>
      <c r="L270" s="28" t="s">
        <v>141</v>
      </c>
      <c r="M270" s="31">
        <v>0.58888888888888891</v>
      </c>
      <c r="N270" s="38">
        <v>0.64652777777777781</v>
      </c>
      <c r="O270" s="31">
        <v>5.8333333333333334E-2</v>
      </c>
      <c r="P270" s="39">
        <v>22.5</v>
      </c>
      <c r="Q270" s="36">
        <v>5.8333333333333334E-2</v>
      </c>
      <c r="W270" s="30" t="s">
        <v>91</v>
      </c>
      <c r="X270" s="30"/>
      <c r="Y270" s="30"/>
      <c r="Z270" s="30"/>
      <c r="AA270" s="30"/>
      <c r="AB270" s="30"/>
      <c r="AC270" s="30"/>
    </row>
    <row r="271" spans="2:29">
      <c r="B271" s="47" t="s">
        <v>303</v>
      </c>
      <c r="C271" s="47"/>
      <c r="D271" s="36">
        <v>0.68402777777777779</v>
      </c>
      <c r="E271" s="36">
        <v>0.68402777777777779</v>
      </c>
      <c r="F271" s="36">
        <v>0.81736111111111109</v>
      </c>
      <c r="G271" s="36">
        <v>0.81736111111111109</v>
      </c>
      <c r="H271" s="30" t="s">
        <v>29</v>
      </c>
      <c r="I271" s="38">
        <v>0.69097222222222221</v>
      </c>
      <c r="J271" s="30" t="s">
        <v>29</v>
      </c>
      <c r="K271" s="38">
        <v>0.81041666666666667</v>
      </c>
      <c r="L271" s="28" t="s">
        <v>141</v>
      </c>
      <c r="M271" s="31">
        <v>0.7</v>
      </c>
      <c r="N271" s="38">
        <v>0.80347222222222225</v>
      </c>
      <c r="O271" s="31">
        <v>0.10694444444444444</v>
      </c>
      <c r="P271" s="39">
        <v>39.200000000000003</v>
      </c>
      <c r="Q271" s="36">
        <v>0.10694444444444444</v>
      </c>
      <c r="R271" s="39"/>
      <c r="W271" s="30" t="s">
        <v>91</v>
      </c>
      <c r="X271" s="30"/>
      <c r="Y271" s="30"/>
      <c r="Z271" s="30"/>
      <c r="AA271" s="30"/>
      <c r="AB271" s="30"/>
      <c r="AC271" s="30"/>
    </row>
    <row r="272" spans="2:29">
      <c r="B272" s="47" t="s">
        <v>304</v>
      </c>
      <c r="C272" s="47"/>
      <c r="D272" s="36">
        <v>0.83819444444444446</v>
      </c>
      <c r="E272" s="36">
        <v>0.83819444444444446</v>
      </c>
      <c r="F272" s="36">
        <v>0.88680555555555551</v>
      </c>
      <c r="G272" s="36">
        <v>0.88680555555555551</v>
      </c>
      <c r="H272" s="30" t="s">
        <v>29</v>
      </c>
      <c r="I272" s="38">
        <v>0.84513888888888888</v>
      </c>
      <c r="J272" s="30" t="s">
        <v>140</v>
      </c>
      <c r="K272" s="38">
        <v>0.87986111111111109</v>
      </c>
      <c r="L272" s="28" t="s">
        <v>141</v>
      </c>
      <c r="M272" s="31">
        <v>0.85416666666666663</v>
      </c>
      <c r="N272" s="38">
        <v>0.87986111111111109</v>
      </c>
      <c r="O272" s="31">
        <v>3.4722222222222224E-2</v>
      </c>
      <c r="P272" s="39">
        <v>16.5</v>
      </c>
      <c r="Q272" s="36">
        <v>3.4722222222222224E-2</v>
      </c>
      <c r="R272" s="39"/>
      <c r="W272" s="30" t="s">
        <v>91</v>
      </c>
      <c r="X272" s="30"/>
      <c r="Y272" s="30"/>
      <c r="Z272" s="30"/>
      <c r="AA272" s="30"/>
      <c r="AB272" s="30"/>
      <c r="AC272" s="30"/>
    </row>
    <row r="273" spans="2:29">
      <c r="B273" s="47" t="s">
        <v>305</v>
      </c>
      <c r="C273" s="47"/>
      <c r="D273" s="36">
        <v>0.83819444444444446</v>
      </c>
      <c r="E273" s="36">
        <v>0.83819444444444446</v>
      </c>
      <c r="F273" s="36">
        <v>0.90763888888888888</v>
      </c>
      <c r="G273" s="36">
        <v>0.90763888888888888</v>
      </c>
      <c r="H273" s="30" t="s">
        <v>29</v>
      </c>
      <c r="I273" s="38">
        <v>0.84513888888888888</v>
      </c>
      <c r="J273" s="30" t="s">
        <v>29</v>
      </c>
      <c r="K273" s="38">
        <v>0.90069444444444446</v>
      </c>
      <c r="L273" s="28" t="s">
        <v>141</v>
      </c>
      <c r="M273" s="31">
        <v>0.85416666666666663</v>
      </c>
      <c r="N273" s="38">
        <v>0.90069444444444446</v>
      </c>
      <c r="O273" s="31">
        <v>5.5555555555555552E-2</v>
      </c>
      <c r="P273" s="39">
        <v>30.3</v>
      </c>
      <c r="Q273" s="36">
        <v>5.5555555555555552E-2</v>
      </c>
      <c r="W273" s="30" t="s">
        <v>91</v>
      </c>
      <c r="X273" s="30"/>
      <c r="Y273" s="30"/>
      <c r="Z273" s="30"/>
      <c r="AA273" s="30"/>
      <c r="AB273" s="30"/>
      <c r="AC273" s="30"/>
    </row>
    <row r="274" spans="2:29">
      <c r="B274" s="47" t="s">
        <v>308</v>
      </c>
      <c r="C274" s="83"/>
      <c r="D274" s="36">
        <v>0.32430555555555557</v>
      </c>
      <c r="E274" s="36">
        <v>0.32430555555555557</v>
      </c>
      <c r="F274" s="31">
        <v>0.90763888888888888</v>
      </c>
      <c r="G274" s="31">
        <v>0.90763888888888888</v>
      </c>
      <c r="H274" s="30" t="s">
        <v>29</v>
      </c>
      <c r="I274" s="38">
        <v>0.3347222222222222</v>
      </c>
      <c r="J274" s="30" t="s">
        <v>29</v>
      </c>
      <c r="K274" s="38">
        <v>0.90069444444444446</v>
      </c>
      <c r="L274" s="28" t="s">
        <v>306</v>
      </c>
      <c r="M274" s="31">
        <v>0.34375</v>
      </c>
      <c r="N274" s="31">
        <v>0.90069444444444446</v>
      </c>
      <c r="O274" s="31">
        <v>0.37222222222222223</v>
      </c>
      <c r="P274" s="39">
        <v>149.19999999999999</v>
      </c>
      <c r="Q274" s="31">
        <v>0.40486111111111112</v>
      </c>
      <c r="W274" s="30" t="s">
        <v>91</v>
      </c>
      <c r="X274" s="30"/>
      <c r="Y274" s="30"/>
      <c r="Z274" s="30"/>
      <c r="AA274" s="30"/>
      <c r="AB274" s="30"/>
      <c r="AC274" s="30"/>
    </row>
    <row r="275" spans="2:29">
      <c r="B275" s="47" t="s">
        <v>354</v>
      </c>
      <c r="C275" s="46"/>
      <c r="D275" s="36">
        <v>0.32430555555555557</v>
      </c>
      <c r="E275" s="36">
        <v>0.32430555555555557</v>
      </c>
      <c r="F275" s="31">
        <v>0.88680555555555551</v>
      </c>
      <c r="G275" s="31">
        <v>0.88680555555555551</v>
      </c>
      <c r="H275" s="30" t="s">
        <v>29</v>
      </c>
      <c r="I275" s="38">
        <v>0.3347222222222222</v>
      </c>
      <c r="J275" s="30" t="s">
        <v>140</v>
      </c>
      <c r="K275" s="38">
        <v>0.87986111111111109</v>
      </c>
      <c r="L275" s="28" t="s">
        <v>306</v>
      </c>
      <c r="M275" s="31">
        <v>0.34375</v>
      </c>
      <c r="N275" s="31">
        <v>0.87986111111111109</v>
      </c>
      <c r="O275" s="31">
        <v>0.35138888888888886</v>
      </c>
      <c r="P275" s="39">
        <v>135.4</v>
      </c>
      <c r="Q275" s="31">
        <v>0.3840277777777778</v>
      </c>
      <c r="W275" s="30" t="s">
        <v>91</v>
      </c>
      <c r="X275" s="30"/>
      <c r="Y275" s="30"/>
      <c r="Z275" s="30"/>
      <c r="AA275" s="30"/>
      <c r="AB275" s="30"/>
      <c r="AC275" s="30"/>
    </row>
    <row r="276" spans="2:29">
      <c r="B276" s="150" t="str">
        <f ca="1">IF($A$4="平日","８-２ 7:05-8:23","８-２  7:05-7:48")</f>
        <v>８-２ 7:05-8:23</v>
      </c>
      <c r="D276" s="31">
        <v>0.28472222222222221</v>
      </c>
      <c r="E276" s="31">
        <v>0.28472222222222221</v>
      </c>
      <c r="F276" s="31" t="str">
        <f ca="1">IF($A$4="平日","8:33","8:08")</f>
        <v>8:33</v>
      </c>
      <c r="G276" s="31" t="str">
        <f ca="1">IF($A$4="平日","8:33","8:08")</f>
        <v>8:33</v>
      </c>
      <c r="H276" s="30" t="s">
        <v>140</v>
      </c>
      <c r="I276" s="31">
        <v>0.2951388888888889</v>
      </c>
      <c r="J276" s="30" t="s">
        <v>29</v>
      </c>
      <c r="K276" s="31" t="str">
        <f ca="1">IF($A$4="平日","8:23","7:58")</f>
        <v>8:23</v>
      </c>
      <c r="L276" s="28" t="s">
        <v>141</v>
      </c>
      <c r="M276" s="31">
        <v>0.2951388888888889</v>
      </c>
      <c r="N276" s="31" t="str">
        <f ca="1">IF($A$4="平日","8:23","7:48")</f>
        <v>8:23</v>
      </c>
      <c r="O276" s="31" t="str">
        <f ca="1">IF($A$4="平日","1:12","0:53")</f>
        <v>1:12</v>
      </c>
      <c r="P276" s="39">
        <f ca="1">IF($A$4="平日",18.7,15.9)</f>
        <v>18.7</v>
      </c>
      <c r="Q276" s="31" t="str">
        <f ca="1">IF($A$4="平日","1:18","0:53")</f>
        <v>1:18</v>
      </c>
      <c r="W276" s="30" t="s">
        <v>91</v>
      </c>
      <c r="X276" s="30"/>
      <c r="Y276" s="30"/>
      <c r="Z276" s="30"/>
      <c r="AA276" s="30"/>
      <c r="AB276" s="30"/>
      <c r="AC276" s="30"/>
    </row>
    <row r="277" spans="2:29">
      <c r="B277" s="150" t="str">
        <f ca="1">IF($A$4="平日","８-２ 6:32-8:23(回送行)","８-２  6:32-7:48(回送行)")</f>
        <v>８-２ 6:32-8:23(回送行)</v>
      </c>
      <c r="D277" s="31">
        <v>0.26180555555555557</v>
      </c>
      <c r="E277" s="31">
        <v>0.26180555555555557</v>
      </c>
      <c r="F277" s="31" t="str">
        <f ca="1">IF($A$4="平日","8:33","8:08")</f>
        <v>8:33</v>
      </c>
      <c r="G277" s="31" t="str">
        <f ca="1">IF($A$4="平日","8:33","8:08")</f>
        <v>8:33</v>
      </c>
      <c r="H277" s="30" t="s">
        <v>29</v>
      </c>
      <c r="I277" s="31">
        <v>0.2722222222222222</v>
      </c>
      <c r="J277" s="30" t="s">
        <v>29</v>
      </c>
      <c r="K277" s="31" t="str">
        <f ca="1">IF($A$4="平日","8:23","7:58")</f>
        <v>8:23</v>
      </c>
      <c r="L277" s="28" t="s">
        <v>141</v>
      </c>
      <c r="M277" s="31">
        <v>0.2722222222222222</v>
      </c>
      <c r="N277" s="31" t="str">
        <f ca="1">IF($A$4="平日","8:23","7:48")</f>
        <v>8:23</v>
      </c>
      <c r="O277" s="31" t="str">
        <f ca="1">IF($A$4="平日","1:45","1:26")</f>
        <v>1:45</v>
      </c>
      <c r="P277" s="39">
        <f ca="1">IF($A$4="平日",32.5,29.7)</f>
        <v>32.5</v>
      </c>
      <c r="Q277" s="31" t="str">
        <f ca="1">IF($A$4="平日","1:51","1:26")</f>
        <v>1:51</v>
      </c>
      <c r="W277" s="30" t="s">
        <v>91</v>
      </c>
      <c r="X277" s="30"/>
      <c r="Y277" s="30"/>
      <c r="Z277" s="30"/>
      <c r="AA277" s="30"/>
      <c r="AB277" s="30"/>
      <c r="AC277" s="30"/>
    </row>
    <row r="278" spans="2:29">
      <c r="B278" s="44" t="s">
        <v>544</v>
      </c>
      <c r="C278" s="45"/>
      <c r="D278" s="36">
        <v>0.37152777777777779</v>
      </c>
      <c r="E278" s="36">
        <v>0.37152777777777779</v>
      </c>
      <c r="F278" s="36">
        <v>0.44513888888888886</v>
      </c>
      <c r="G278" s="36">
        <v>0.44513888888888886</v>
      </c>
      <c r="H278" s="30" t="s">
        <v>29</v>
      </c>
      <c r="I278" s="38">
        <v>0.37847222222222221</v>
      </c>
      <c r="J278" s="30" t="s">
        <v>29</v>
      </c>
      <c r="K278" s="38">
        <v>0.43819444444444444</v>
      </c>
      <c r="L278" s="29" t="s">
        <v>143</v>
      </c>
      <c r="M278" s="31">
        <v>0.38263888888888886</v>
      </c>
      <c r="N278" s="38">
        <v>0.43611111111111112</v>
      </c>
      <c r="O278" s="31">
        <v>5.9722222222222225E-2</v>
      </c>
      <c r="P278" s="39">
        <v>18.600000000000001</v>
      </c>
      <c r="Q278" s="36">
        <v>5.9722222222222225E-2</v>
      </c>
      <c r="W278" s="30" t="s">
        <v>91</v>
      </c>
      <c r="X278" s="30"/>
      <c r="Y278" s="30"/>
      <c r="Z278" s="30"/>
      <c r="AA278" s="30"/>
      <c r="AB278" s="30"/>
      <c r="AC278" s="30"/>
    </row>
    <row r="279" spans="2:29">
      <c r="B279" s="47" t="s">
        <v>309</v>
      </c>
      <c r="C279" s="83"/>
      <c r="D279" s="36">
        <v>0.26180555555555557</v>
      </c>
      <c r="E279" s="36">
        <v>0.26180555555555557</v>
      </c>
      <c r="F279" s="31">
        <v>0.44513888888888886</v>
      </c>
      <c r="G279" s="31">
        <v>0.44513888888888886</v>
      </c>
      <c r="H279" s="30" t="s">
        <v>29</v>
      </c>
      <c r="I279" s="38">
        <v>0.2722222222222222</v>
      </c>
      <c r="J279" s="30" t="s">
        <v>29</v>
      </c>
      <c r="K279" s="38">
        <v>0.43819444444444444</v>
      </c>
      <c r="L279" s="28" t="s">
        <v>543</v>
      </c>
      <c r="M279" s="31">
        <v>0.2722222222222222</v>
      </c>
      <c r="N279" s="31">
        <v>0.43611111111111112</v>
      </c>
      <c r="O279" s="31" t="str">
        <f ca="1">IF($A$4="平日","3:11","2:52")</f>
        <v>3:11</v>
      </c>
      <c r="P279" s="39">
        <f ca="1">IF($A$4="平日",51.1,48.3)</f>
        <v>51.1</v>
      </c>
      <c r="Q279" s="31" t="str">
        <f ca="1">IF($A$4="平日","3:42","3:17")</f>
        <v>3:42</v>
      </c>
      <c r="R279" s="31"/>
      <c r="W279" s="30" t="s">
        <v>91</v>
      </c>
      <c r="X279" s="30"/>
      <c r="Y279" s="30"/>
      <c r="Z279" s="30"/>
      <c r="AA279" s="30"/>
      <c r="AB279" s="30"/>
      <c r="AC279" s="30"/>
    </row>
    <row r="280" spans="2:29">
      <c r="B280" s="47" t="s">
        <v>355</v>
      </c>
      <c r="C280" s="46"/>
      <c r="D280" s="36">
        <v>0.28472222222222221</v>
      </c>
      <c r="E280" s="36">
        <v>0.28472222222222221</v>
      </c>
      <c r="F280" s="31">
        <v>0.44513888888888886</v>
      </c>
      <c r="G280" s="31">
        <v>0.44513888888888886</v>
      </c>
      <c r="H280" s="30" t="s">
        <v>140</v>
      </c>
      <c r="I280" s="38">
        <v>0.2951388888888889</v>
      </c>
      <c r="J280" s="30" t="s">
        <v>29</v>
      </c>
      <c r="K280" s="38">
        <v>0.43819444444444444</v>
      </c>
      <c r="L280" s="28" t="s">
        <v>543</v>
      </c>
      <c r="M280" s="31">
        <v>0.2951388888888889</v>
      </c>
      <c r="N280" s="31">
        <v>0.43611111111111112</v>
      </c>
      <c r="O280" s="31" t="str">
        <f ca="1">IF($A$4="平日","2:38","2:19")</f>
        <v>2:38</v>
      </c>
      <c r="P280" s="39">
        <f ca="1">IF($A$4="平日",37.3,34.5)</f>
        <v>37.299999999999997</v>
      </c>
      <c r="Q280" s="31" t="str">
        <f ca="1">IF($A$4="平日","3:09","2:44")</f>
        <v>3:09</v>
      </c>
      <c r="W280" s="30" t="s">
        <v>91</v>
      </c>
      <c r="X280" s="30"/>
      <c r="Y280" s="30"/>
      <c r="Z280" s="30"/>
      <c r="AA280" s="30"/>
      <c r="AB280" s="30"/>
      <c r="AC280" s="30"/>
    </row>
    <row r="281" spans="2:29">
      <c r="B281" s="47" t="s">
        <v>562</v>
      </c>
      <c r="C281" s="47"/>
      <c r="D281" s="36">
        <v>0.25486111111111109</v>
      </c>
      <c r="E281" s="36">
        <v>0.25486111111111109</v>
      </c>
      <c r="F281" s="36">
        <v>0.37291666666666667</v>
      </c>
      <c r="G281" s="36">
        <v>0.37291666666666667</v>
      </c>
      <c r="H281" s="30" t="s">
        <v>29</v>
      </c>
      <c r="I281" s="38">
        <v>0.26527777777777778</v>
      </c>
      <c r="J281" s="30" t="s">
        <v>29</v>
      </c>
      <c r="K281" s="38">
        <v>0.3659722222222222</v>
      </c>
      <c r="L281" s="28" t="s">
        <v>148</v>
      </c>
      <c r="M281" s="31">
        <v>0.27430555555555558</v>
      </c>
      <c r="N281" s="38">
        <v>0.35902777777777778</v>
      </c>
      <c r="O281" s="31">
        <v>9.2361111111111116E-2</v>
      </c>
      <c r="P281" s="39">
        <v>30.6</v>
      </c>
      <c r="Q281" s="36">
        <v>0.10069444444444445</v>
      </c>
      <c r="W281" s="30" t="s">
        <v>91</v>
      </c>
      <c r="X281" s="30"/>
      <c r="Y281" s="30"/>
      <c r="Z281" s="30"/>
      <c r="AA281" s="30"/>
      <c r="AB281" s="30"/>
      <c r="AC281" s="30"/>
    </row>
    <row r="282" spans="2:29">
      <c r="B282" s="47" t="s">
        <v>511</v>
      </c>
      <c r="C282" s="47"/>
      <c r="D282" s="31">
        <v>0.41597222222222224</v>
      </c>
      <c r="E282" s="31">
        <v>0.41597222222222224</v>
      </c>
      <c r="F282" s="31">
        <v>0.53611111111111109</v>
      </c>
      <c r="G282" s="31">
        <v>0.53611111111111109</v>
      </c>
      <c r="H282" s="30" t="s">
        <v>29</v>
      </c>
      <c r="I282" s="38">
        <v>0.42291666666666666</v>
      </c>
      <c r="J282" s="30" t="s">
        <v>29</v>
      </c>
      <c r="K282" s="38">
        <v>0.52916666666666667</v>
      </c>
      <c r="L282" s="28" t="s">
        <v>684</v>
      </c>
      <c r="M282" s="31">
        <v>0.43194444444444446</v>
      </c>
      <c r="N282" s="31">
        <v>0.52222222222222225</v>
      </c>
      <c r="O282" s="31">
        <v>0.10277777777777777</v>
      </c>
      <c r="P282" s="39">
        <v>45.9</v>
      </c>
      <c r="Q282" s="31">
        <v>0.10625</v>
      </c>
      <c r="W282" s="30" t="s">
        <v>91</v>
      </c>
      <c r="X282" s="30"/>
      <c r="Y282" s="30"/>
      <c r="Z282" s="30"/>
      <c r="AA282" s="30"/>
      <c r="AB282" s="30"/>
      <c r="AC282" s="30"/>
    </row>
    <row r="283" spans="2:29">
      <c r="B283" s="47" t="s">
        <v>512</v>
      </c>
      <c r="C283" s="47"/>
      <c r="D283" s="36">
        <v>0.64236111111111116</v>
      </c>
      <c r="E283" s="36">
        <v>0.64236111111111116</v>
      </c>
      <c r="F283" s="31">
        <v>0.76527777777777772</v>
      </c>
      <c r="G283" s="31">
        <v>0.76527777777777772</v>
      </c>
      <c r="H283" s="30" t="s">
        <v>29</v>
      </c>
      <c r="I283" s="38">
        <v>0.64930555555555558</v>
      </c>
      <c r="J283" s="30" t="s">
        <v>44</v>
      </c>
      <c r="K283" s="38">
        <v>0.7583333333333333</v>
      </c>
      <c r="L283" s="28" t="s">
        <v>684</v>
      </c>
      <c r="M283" s="31">
        <v>0.65833333333333333</v>
      </c>
      <c r="N283" s="31">
        <v>0.75138888888888888</v>
      </c>
      <c r="O283" s="31">
        <v>9.5138888888888884E-2</v>
      </c>
      <c r="P283" s="39">
        <v>35.299999999999997</v>
      </c>
      <c r="Q283" s="31">
        <v>0.10416666666666667</v>
      </c>
      <c r="W283" s="30" t="s">
        <v>91</v>
      </c>
      <c r="X283" s="30"/>
      <c r="Y283" s="30"/>
      <c r="Z283" s="30"/>
      <c r="AA283" s="30"/>
      <c r="AB283" s="30"/>
      <c r="AC283" s="30"/>
    </row>
    <row r="284" spans="2:29">
      <c r="B284" s="47" t="s">
        <v>432</v>
      </c>
      <c r="C284" s="47"/>
      <c r="D284" s="36">
        <v>0.76388888888888884</v>
      </c>
      <c r="E284" s="36">
        <v>0.76388888888888884</v>
      </c>
      <c r="F284" s="31">
        <v>0.87638888888888888</v>
      </c>
      <c r="G284" s="31">
        <v>0.87638888888888888</v>
      </c>
      <c r="H284" s="30" t="s">
        <v>44</v>
      </c>
      <c r="I284" s="38">
        <v>0.77083333333333337</v>
      </c>
      <c r="J284" s="30" t="s">
        <v>29</v>
      </c>
      <c r="K284" s="38">
        <v>0.86944444444444446</v>
      </c>
      <c r="L284" s="28" t="s">
        <v>684</v>
      </c>
      <c r="M284" s="31">
        <v>0.77986111111111112</v>
      </c>
      <c r="N284" s="31">
        <v>0.86250000000000004</v>
      </c>
      <c r="O284" s="31">
        <v>8.8888888888888892E-2</v>
      </c>
      <c r="P284" s="39">
        <v>30.5</v>
      </c>
      <c r="Q284" s="31">
        <v>9.375E-2</v>
      </c>
      <c r="W284" s="30" t="s">
        <v>91</v>
      </c>
      <c r="X284" s="30"/>
      <c r="Y284" s="30"/>
      <c r="Z284" s="30"/>
      <c r="AA284" s="30"/>
      <c r="AB284" s="30"/>
      <c r="AC284" s="30"/>
    </row>
    <row r="285" spans="2:29">
      <c r="B285" s="47" t="s">
        <v>356</v>
      </c>
      <c r="C285" s="46"/>
      <c r="D285" s="31" t="str">
        <f ca="1">IF($A$4="平日","6:07","9:59")</f>
        <v>6:07</v>
      </c>
      <c r="E285" s="31" t="str">
        <f ca="1">IF($A$4="平日","6:07","9:59")</f>
        <v>6:07</v>
      </c>
      <c r="F285" s="31">
        <v>0.87638888888888888</v>
      </c>
      <c r="G285" s="31">
        <v>0.87638888888888888</v>
      </c>
      <c r="H285" s="30" t="s">
        <v>29</v>
      </c>
      <c r="I285" s="31" t="str">
        <f ca="1">IF($A$4="平日","6:22","10:09")</f>
        <v>6:22</v>
      </c>
      <c r="J285" s="30" t="s">
        <v>29</v>
      </c>
      <c r="K285" s="38">
        <v>0.86944444444444446</v>
      </c>
      <c r="L285" s="30" t="str">
        <f ca="1">IF($A$4="平日","429    1110","1110")</f>
        <v>429    1110</v>
      </c>
      <c r="M285" s="31" t="str">
        <f ca="1">IF($A$4="平日","6:35","10:22")</f>
        <v>6:35</v>
      </c>
      <c r="N285" s="31">
        <v>0.86250000000000004</v>
      </c>
      <c r="O285" s="31" t="str">
        <f ca="1">IF($A$4="平日","9:06","6:53")</f>
        <v>9:06</v>
      </c>
      <c r="P285" s="39">
        <f ca="1">IF($A$4="平日",142.3,111.7)</f>
        <v>142.30000000000001</v>
      </c>
      <c r="Q285" s="31" t="str">
        <f ca="1">IF($A$4="平日","10:08","7:38")</f>
        <v>10:08</v>
      </c>
      <c r="S285" s="28"/>
      <c r="T285" s="28"/>
      <c r="W285" s="30" t="s">
        <v>91</v>
      </c>
      <c r="X285" s="30"/>
      <c r="Y285" s="30"/>
      <c r="Z285" s="30"/>
      <c r="AA285" s="30"/>
      <c r="AB285" s="30"/>
      <c r="AC285" s="30"/>
    </row>
    <row r="286" spans="2:29">
      <c r="B286" s="47" t="s">
        <v>619</v>
      </c>
      <c r="C286" s="47"/>
      <c r="D286" s="36">
        <v>0.29444444444444445</v>
      </c>
      <c r="E286" s="36">
        <v>0.29444444444444445</v>
      </c>
      <c r="F286" s="36">
        <v>0.40625</v>
      </c>
      <c r="G286" s="36">
        <v>0.40625</v>
      </c>
      <c r="H286" s="30" t="s">
        <v>29</v>
      </c>
      <c r="I286" s="38">
        <v>0.30486111111111114</v>
      </c>
      <c r="J286" s="30" t="s">
        <v>29</v>
      </c>
      <c r="K286" s="38">
        <v>0.39930555555555558</v>
      </c>
      <c r="L286" s="28" t="s">
        <v>94</v>
      </c>
      <c r="M286" s="31">
        <v>0.31388888888888888</v>
      </c>
      <c r="N286" s="38">
        <v>0.3923611111111111</v>
      </c>
      <c r="O286" s="31">
        <v>8.9583333333333334E-2</v>
      </c>
      <c r="P286" s="39">
        <v>33</v>
      </c>
      <c r="Q286" s="36">
        <v>9.4444444444444442E-2</v>
      </c>
      <c r="W286" s="30" t="s">
        <v>91</v>
      </c>
      <c r="X286" s="30"/>
      <c r="Y286" s="30"/>
      <c r="Z286" s="30"/>
      <c r="AA286" s="30"/>
      <c r="AB286" s="30"/>
      <c r="AC286" s="30"/>
    </row>
    <row r="287" spans="2:29">
      <c r="B287" s="47" t="s">
        <v>620</v>
      </c>
      <c r="C287" s="47"/>
      <c r="D287" s="36">
        <v>0.44930555555555557</v>
      </c>
      <c r="E287" s="36">
        <v>0.44930555555555557</v>
      </c>
      <c r="F287" s="36">
        <v>0.5229166666666667</v>
      </c>
      <c r="G287" s="36">
        <v>0.5229166666666667</v>
      </c>
      <c r="H287" s="30" t="s">
        <v>29</v>
      </c>
      <c r="I287" s="38">
        <v>0.45624999999999999</v>
      </c>
      <c r="J287" s="30" t="s">
        <v>29</v>
      </c>
      <c r="K287" s="38">
        <v>0.51597222222222228</v>
      </c>
      <c r="L287" s="28" t="s">
        <v>441</v>
      </c>
      <c r="M287" s="31">
        <v>0.46041666666666664</v>
      </c>
      <c r="N287" s="38">
        <v>0.51388888888888884</v>
      </c>
      <c r="O287" s="31">
        <v>5.9722222222222225E-2</v>
      </c>
      <c r="P287" s="39">
        <v>18.600000000000001</v>
      </c>
      <c r="Q287" s="36">
        <v>5.9722222222222225E-2</v>
      </c>
      <c r="W287" s="30" t="s">
        <v>91</v>
      </c>
      <c r="X287" s="30"/>
      <c r="Y287" s="30"/>
      <c r="Z287" s="30"/>
      <c r="AA287" s="30"/>
      <c r="AB287" s="30"/>
      <c r="AC287" s="30"/>
    </row>
    <row r="288" spans="2:29">
      <c r="B288" s="47" t="s">
        <v>513</v>
      </c>
      <c r="C288" s="47"/>
      <c r="D288" s="36">
        <v>0.52916666666666667</v>
      </c>
      <c r="E288" s="36">
        <v>0.52916666666666667</v>
      </c>
      <c r="F288" s="36">
        <v>0.62847222222222221</v>
      </c>
      <c r="G288" s="36">
        <v>0.62847222222222221</v>
      </c>
      <c r="H288" s="30" t="s">
        <v>29</v>
      </c>
      <c r="I288" s="38">
        <v>0.53611111111111109</v>
      </c>
      <c r="J288" s="30" t="s">
        <v>29</v>
      </c>
      <c r="K288" s="38">
        <v>0.62152777777777779</v>
      </c>
      <c r="L288" s="28" t="s">
        <v>146</v>
      </c>
      <c r="M288" s="31">
        <v>0.54513888888888884</v>
      </c>
      <c r="N288" s="38">
        <v>0.61458333333333337</v>
      </c>
      <c r="O288" s="31">
        <v>7.7083333333333337E-2</v>
      </c>
      <c r="P288" s="39">
        <v>29.4</v>
      </c>
      <c r="Q288" s="36">
        <v>8.5416666666666669E-2</v>
      </c>
      <c r="W288" s="30" t="s">
        <v>91</v>
      </c>
      <c r="X288" s="30"/>
      <c r="Y288" s="30"/>
      <c r="Z288" s="30"/>
      <c r="AA288" s="30"/>
      <c r="AB288" s="30"/>
      <c r="AC288" s="30"/>
    </row>
    <row r="289" spans="2:29">
      <c r="B289" s="47" t="s">
        <v>411</v>
      </c>
      <c r="C289" s="47"/>
      <c r="D289" s="36">
        <v>0.69513888888888886</v>
      </c>
      <c r="E289" s="36">
        <v>0.69513888888888886</v>
      </c>
      <c r="F289" s="36">
        <v>0.78541666666666665</v>
      </c>
      <c r="G289" s="36">
        <v>0.78541666666666665</v>
      </c>
      <c r="H289" s="30" t="s">
        <v>29</v>
      </c>
      <c r="I289" s="38">
        <v>0.70208333333333328</v>
      </c>
      <c r="J289" s="30" t="s">
        <v>29</v>
      </c>
      <c r="K289" s="38">
        <v>0.77847222222222223</v>
      </c>
      <c r="L289" s="28" t="s">
        <v>146</v>
      </c>
      <c r="M289" s="31">
        <v>0.70625000000000004</v>
      </c>
      <c r="N289" s="38">
        <v>0.77638888888888891</v>
      </c>
      <c r="O289" s="31">
        <v>7.2916666666666671E-2</v>
      </c>
      <c r="P289" s="39">
        <v>30.6</v>
      </c>
      <c r="Q289" s="36">
        <v>7.6388888888888895E-2</v>
      </c>
      <c r="W289" s="30" t="s">
        <v>91</v>
      </c>
      <c r="X289" s="30"/>
      <c r="Y289" s="30"/>
      <c r="Z289" s="30"/>
      <c r="AA289" s="30"/>
      <c r="AB289" s="30"/>
      <c r="AC289" s="30"/>
    </row>
    <row r="290" spans="2:29">
      <c r="B290" s="47" t="s">
        <v>312</v>
      </c>
      <c r="C290" s="47"/>
      <c r="D290" s="36">
        <v>0.79513888888888884</v>
      </c>
      <c r="E290" s="36">
        <v>0.79513888888888884</v>
      </c>
      <c r="F290" s="36">
        <v>0.84583333333333333</v>
      </c>
      <c r="G290" s="36">
        <v>0.84583333333333333</v>
      </c>
      <c r="H290" s="30" t="s">
        <v>29</v>
      </c>
      <c r="I290" s="38">
        <v>0.80208333333333337</v>
      </c>
      <c r="J290" s="30" t="s">
        <v>140</v>
      </c>
      <c r="K290" s="38">
        <v>0.83888888888888891</v>
      </c>
      <c r="L290" s="28" t="s">
        <v>146</v>
      </c>
      <c r="M290" s="31">
        <v>0.81111111111111112</v>
      </c>
      <c r="N290" s="38">
        <v>0.83888888888888891</v>
      </c>
      <c r="O290" s="31">
        <v>3.6805555555555557E-2</v>
      </c>
      <c r="P290" s="39">
        <v>15.9</v>
      </c>
      <c r="Q290" s="36">
        <v>3.6805555555555557E-2</v>
      </c>
      <c r="W290" s="30" t="s">
        <v>91</v>
      </c>
      <c r="X290" s="30"/>
      <c r="Y290" s="30"/>
      <c r="Z290" s="30"/>
      <c r="AA290" s="30"/>
      <c r="AB290" s="30"/>
      <c r="AC290" s="30"/>
    </row>
    <row r="291" spans="2:29">
      <c r="B291" s="47" t="s">
        <v>313</v>
      </c>
      <c r="C291" s="47"/>
      <c r="D291" s="36">
        <v>0.79513888888888884</v>
      </c>
      <c r="E291" s="36">
        <v>0.79513888888888884</v>
      </c>
      <c r="F291" s="36">
        <v>0.8666666666666667</v>
      </c>
      <c r="G291" s="36">
        <v>0.8666666666666667</v>
      </c>
      <c r="H291" s="30" t="s">
        <v>29</v>
      </c>
      <c r="I291" s="38">
        <v>0.80208333333333337</v>
      </c>
      <c r="J291" s="30" t="s">
        <v>29</v>
      </c>
      <c r="K291" s="38">
        <v>0.85972222222222228</v>
      </c>
      <c r="L291" s="28" t="s">
        <v>146</v>
      </c>
      <c r="M291" s="31">
        <v>0.81111111111111112</v>
      </c>
      <c r="N291" s="38">
        <v>0.85972222222222228</v>
      </c>
      <c r="O291" s="31">
        <v>5.7638888888888892E-2</v>
      </c>
      <c r="P291" s="39">
        <v>29.7</v>
      </c>
      <c r="Q291" s="36">
        <v>5.7638888888888892E-2</v>
      </c>
      <c r="W291" s="30" t="s">
        <v>91</v>
      </c>
      <c r="X291" s="30"/>
      <c r="Y291" s="30"/>
      <c r="Z291" s="30"/>
      <c r="AA291" s="30"/>
      <c r="AB291" s="30"/>
      <c r="AC291" s="30"/>
    </row>
    <row r="292" spans="2:29">
      <c r="B292" s="47" t="s">
        <v>307</v>
      </c>
      <c r="C292" s="83"/>
      <c r="D292" s="31">
        <v>0.29444444444444445</v>
      </c>
      <c r="E292" s="31">
        <v>0.29444444444444445</v>
      </c>
      <c r="F292" s="31">
        <v>0.8666666666666667</v>
      </c>
      <c r="G292" s="31">
        <v>0.8666666666666667</v>
      </c>
      <c r="H292" s="30" t="s">
        <v>29</v>
      </c>
      <c r="I292" s="38">
        <v>0.30486111111111114</v>
      </c>
      <c r="J292" s="30" t="s">
        <v>29</v>
      </c>
      <c r="K292" s="38">
        <v>0.85972222222222228</v>
      </c>
      <c r="L292" s="30" t="s">
        <v>622</v>
      </c>
      <c r="M292" s="31">
        <v>0.31388888888888888</v>
      </c>
      <c r="N292" s="31">
        <v>0.85972222222222228</v>
      </c>
      <c r="O292" s="31">
        <v>0.35694444444444445</v>
      </c>
      <c r="P292" s="40">
        <v>141.30000000000001</v>
      </c>
      <c r="Q292" s="31">
        <v>0.39097222222222222</v>
      </c>
      <c r="W292" s="30" t="s">
        <v>91</v>
      </c>
      <c r="X292" s="30"/>
      <c r="Y292" s="30"/>
      <c r="Z292" s="30"/>
      <c r="AA292" s="30"/>
      <c r="AB292" s="30"/>
      <c r="AC292" s="30"/>
    </row>
    <row r="293" spans="2:29">
      <c r="B293" s="47" t="s">
        <v>357</v>
      </c>
      <c r="C293" s="46"/>
      <c r="D293" s="31">
        <v>0.29444444444444445</v>
      </c>
      <c r="E293" s="31">
        <v>0.29444444444444445</v>
      </c>
      <c r="F293" s="31">
        <v>0.84583333333333333</v>
      </c>
      <c r="G293" s="31">
        <v>0.84583333333333333</v>
      </c>
      <c r="H293" s="30" t="s">
        <v>29</v>
      </c>
      <c r="I293" s="31">
        <v>0.30486111111111114</v>
      </c>
      <c r="J293" s="30" t="s">
        <v>140</v>
      </c>
      <c r="K293" s="38">
        <v>0.83888888888888891</v>
      </c>
      <c r="L293" s="30" t="s">
        <v>621</v>
      </c>
      <c r="M293" s="31">
        <v>0.31388888888888888</v>
      </c>
      <c r="N293" s="31">
        <v>0.83888888888888891</v>
      </c>
      <c r="O293" s="31">
        <v>0.33611111111111114</v>
      </c>
      <c r="P293" s="40">
        <v>127.5</v>
      </c>
      <c r="Q293" s="31">
        <v>0.37013888888888891</v>
      </c>
      <c r="W293" s="30" t="s">
        <v>91</v>
      </c>
      <c r="X293" s="30"/>
      <c r="Y293" s="30"/>
      <c r="Z293" s="30"/>
      <c r="AA293" s="30"/>
      <c r="AB293" s="30"/>
      <c r="AC293" s="30"/>
    </row>
    <row r="294" spans="2:29">
      <c r="B294" s="47" t="s">
        <v>514</v>
      </c>
      <c r="C294" s="47"/>
      <c r="D294" s="36">
        <v>0.2722222222222222</v>
      </c>
      <c r="E294" s="36">
        <v>0.2722222222222222</v>
      </c>
      <c r="F294" s="36">
        <v>0.33194444444444443</v>
      </c>
      <c r="G294" s="36">
        <v>0.33194444444444443</v>
      </c>
      <c r="H294" s="30" t="s">
        <v>140</v>
      </c>
      <c r="I294" s="38">
        <v>0.28263888888888888</v>
      </c>
      <c r="J294" s="30" t="s">
        <v>44</v>
      </c>
      <c r="K294" s="38">
        <v>0.32500000000000001</v>
      </c>
      <c r="L294" s="28" t="s">
        <v>146</v>
      </c>
      <c r="M294" s="31">
        <v>0.28263888888888888</v>
      </c>
      <c r="N294" s="38">
        <v>0.31805555555555554</v>
      </c>
      <c r="O294" s="31">
        <v>3.6111111111111108E-2</v>
      </c>
      <c r="P294" s="39">
        <v>14</v>
      </c>
      <c r="Q294" s="36">
        <v>3.6111111111111108E-2</v>
      </c>
      <c r="W294" s="30" t="s">
        <v>91</v>
      </c>
      <c r="X294" s="30"/>
      <c r="Y294" s="30"/>
      <c r="Z294" s="30"/>
      <c r="AA294" s="30"/>
      <c r="AB294" s="30"/>
      <c r="AC294" s="30"/>
    </row>
    <row r="295" spans="2:29">
      <c r="B295" s="47" t="s">
        <v>515</v>
      </c>
      <c r="C295" s="47"/>
      <c r="D295" s="36">
        <v>0.24930555555555556</v>
      </c>
      <c r="E295" s="36">
        <v>0.24930555555555556</v>
      </c>
      <c r="F295" s="36">
        <v>0.33194444444444443</v>
      </c>
      <c r="G295" s="36">
        <v>0.33194444444444443</v>
      </c>
      <c r="H295" s="30" t="s">
        <v>29</v>
      </c>
      <c r="I295" s="38">
        <v>0.25972222222222224</v>
      </c>
      <c r="J295" s="30" t="s">
        <v>44</v>
      </c>
      <c r="K295" s="38">
        <v>0.32500000000000001</v>
      </c>
      <c r="L295" s="28" t="s">
        <v>146</v>
      </c>
      <c r="M295" s="31">
        <v>0.25972222222222224</v>
      </c>
      <c r="N295" s="38">
        <v>0.31805555555555554</v>
      </c>
      <c r="O295" s="31">
        <v>5.9027777777777776E-2</v>
      </c>
      <c r="P295" s="39">
        <v>27.8</v>
      </c>
      <c r="Q295" s="36">
        <v>5.9027777777777776E-2</v>
      </c>
      <c r="W295" s="30" t="s">
        <v>91</v>
      </c>
      <c r="X295" s="30"/>
      <c r="Y295" s="30"/>
      <c r="Z295" s="30"/>
      <c r="AA295" s="30"/>
      <c r="AB295" s="30"/>
      <c r="AC295" s="30"/>
    </row>
    <row r="296" spans="2:29">
      <c r="B296" s="47" t="s">
        <v>672</v>
      </c>
      <c r="C296" s="47"/>
      <c r="D296" s="36">
        <v>0.31944444444444442</v>
      </c>
      <c r="E296" s="36">
        <v>0.31944444444444442</v>
      </c>
      <c r="F296" s="36">
        <v>0.42430555555555555</v>
      </c>
      <c r="G296" s="36">
        <v>0.42430555555555555</v>
      </c>
      <c r="H296" s="30" t="s">
        <v>44</v>
      </c>
      <c r="I296" s="38">
        <v>0.3263888888888889</v>
      </c>
      <c r="J296" s="30" t="s">
        <v>29</v>
      </c>
      <c r="K296" s="38">
        <v>0.41736111111111113</v>
      </c>
      <c r="L296" s="28" t="s">
        <v>146</v>
      </c>
      <c r="M296" s="31">
        <v>0.33541666666666664</v>
      </c>
      <c r="N296" s="38">
        <v>0.41736111111111113</v>
      </c>
      <c r="O296" s="31">
        <v>7.013888888888889E-2</v>
      </c>
      <c r="P296" s="39">
        <v>24.2</v>
      </c>
      <c r="Q296" s="36">
        <v>7.013888888888889E-2</v>
      </c>
      <c r="W296" s="30" t="s">
        <v>91</v>
      </c>
      <c r="X296" s="30"/>
      <c r="Y296" s="30"/>
      <c r="Z296" s="30"/>
      <c r="AA296" s="30"/>
      <c r="AB296" s="30"/>
      <c r="AC296" s="30"/>
    </row>
    <row r="297" spans="2:29">
      <c r="B297" s="47" t="s">
        <v>236</v>
      </c>
      <c r="C297" s="83"/>
      <c r="D297" s="36">
        <v>0.24930555555555556</v>
      </c>
      <c r="E297" s="36">
        <v>0.24930555555555556</v>
      </c>
      <c r="F297" s="36">
        <v>0.42430555555555555</v>
      </c>
      <c r="G297" s="36">
        <v>0.42430555555555555</v>
      </c>
      <c r="H297" s="30" t="s">
        <v>29</v>
      </c>
      <c r="I297" s="38">
        <v>0.25972222222222224</v>
      </c>
      <c r="J297" s="30" t="s">
        <v>29</v>
      </c>
      <c r="K297" s="38">
        <v>0.41736111111111113</v>
      </c>
      <c r="L297" s="28" t="s">
        <v>146</v>
      </c>
      <c r="M297" s="31">
        <v>0.25972222222222224</v>
      </c>
      <c r="N297" s="38">
        <v>0.41736111111111113</v>
      </c>
      <c r="O297" s="31">
        <v>0.12916666666666668</v>
      </c>
      <c r="P297" s="39">
        <v>52</v>
      </c>
      <c r="Q297" s="36">
        <v>0.14652777777777778</v>
      </c>
      <c r="W297" s="30" t="s">
        <v>91</v>
      </c>
      <c r="X297" s="30"/>
      <c r="Y297" s="30"/>
      <c r="Z297" s="30"/>
      <c r="AA297" s="30"/>
      <c r="AB297" s="30"/>
      <c r="AC297" s="30"/>
    </row>
    <row r="298" spans="2:29">
      <c r="B298" s="47" t="s">
        <v>358</v>
      </c>
      <c r="C298" s="46"/>
      <c r="D298" s="36">
        <v>0.2722222222222222</v>
      </c>
      <c r="E298" s="36">
        <v>0.2722222222222222</v>
      </c>
      <c r="F298" s="36">
        <v>0.42430555555555555</v>
      </c>
      <c r="G298" s="36">
        <v>0.42430555555555555</v>
      </c>
      <c r="H298" s="30" t="s">
        <v>140</v>
      </c>
      <c r="I298" s="38">
        <v>0.28263888888888888</v>
      </c>
      <c r="J298" s="30" t="s">
        <v>29</v>
      </c>
      <c r="K298" s="38">
        <v>0.41736111111111113</v>
      </c>
      <c r="L298" s="28" t="s">
        <v>146</v>
      </c>
      <c r="M298" s="31">
        <v>0.28263888888888888</v>
      </c>
      <c r="N298" s="38">
        <v>0.41736111111111113</v>
      </c>
      <c r="O298" s="31">
        <v>0.10625</v>
      </c>
      <c r="P298" s="39">
        <v>38.200000000000003</v>
      </c>
      <c r="Q298" s="36">
        <v>0.12361111111111112</v>
      </c>
      <c r="R298" s="40">
        <v>127.5</v>
      </c>
      <c r="W298" s="30" t="s">
        <v>91</v>
      </c>
      <c r="X298" s="30"/>
      <c r="Y298" s="30"/>
      <c r="Z298" s="30"/>
      <c r="AA298" s="30"/>
      <c r="AB298" s="30"/>
      <c r="AC298" s="30"/>
    </row>
    <row r="299" spans="2:29">
      <c r="W299" s="30"/>
      <c r="X299" s="30"/>
      <c r="Y299" s="30"/>
      <c r="Z299" s="30"/>
      <c r="AA299" s="30"/>
      <c r="AB299" s="30"/>
      <c r="AC299" s="30"/>
    </row>
    <row r="300" spans="2:29">
      <c r="B300" s="47" t="s">
        <v>430</v>
      </c>
      <c r="C300" s="47"/>
      <c r="D300" s="36">
        <v>0.25763888888888886</v>
      </c>
      <c r="E300" s="36">
        <v>0.25763888888888886</v>
      </c>
      <c r="F300" s="36">
        <v>0.38472222222222224</v>
      </c>
      <c r="G300" s="36">
        <v>0.38472222222222224</v>
      </c>
      <c r="H300" s="30" t="s">
        <v>29</v>
      </c>
      <c r="I300" s="38">
        <v>0.26805555555555555</v>
      </c>
      <c r="J300" s="30" t="s">
        <v>29</v>
      </c>
      <c r="K300" s="38">
        <v>0.37777777777777777</v>
      </c>
      <c r="L300" s="28" t="s">
        <v>661</v>
      </c>
      <c r="M300" s="31">
        <v>0.27708333333333335</v>
      </c>
      <c r="N300" s="38">
        <v>0.37083333333333335</v>
      </c>
      <c r="O300" s="31">
        <v>9.6527777777777782E-2</v>
      </c>
      <c r="P300" s="39">
        <v>34.700000000000003</v>
      </c>
      <c r="Q300" s="36">
        <v>9.6527777777777782E-2</v>
      </c>
      <c r="W300" s="30" t="s">
        <v>91</v>
      </c>
      <c r="X300" s="30"/>
      <c r="Y300" s="30"/>
      <c r="Z300" s="30"/>
      <c r="AA300" s="30"/>
      <c r="AB300" s="30"/>
      <c r="AC300" s="30"/>
    </row>
    <row r="301" spans="2:29">
      <c r="B301" s="47" t="s">
        <v>447</v>
      </c>
      <c r="C301" s="47"/>
      <c r="D301" s="36">
        <v>0.42152777777777778</v>
      </c>
      <c r="E301" s="36">
        <v>0.42152777777777778</v>
      </c>
      <c r="F301" s="36">
        <v>0.49513888888888891</v>
      </c>
      <c r="G301" s="36">
        <v>0.49513888888888891</v>
      </c>
      <c r="H301" s="30" t="s">
        <v>29</v>
      </c>
      <c r="I301" s="38">
        <v>0.4284722222222222</v>
      </c>
      <c r="J301" s="30" t="s">
        <v>29</v>
      </c>
      <c r="K301" s="38">
        <v>0.48819444444444443</v>
      </c>
      <c r="L301" s="28" t="s">
        <v>53</v>
      </c>
      <c r="M301" s="31">
        <v>0.43263888888888891</v>
      </c>
      <c r="N301" s="38">
        <v>0.4861111111111111</v>
      </c>
      <c r="O301" s="31">
        <v>5.9722222222222225E-2</v>
      </c>
      <c r="P301" s="39">
        <v>18.600000000000001</v>
      </c>
      <c r="Q301" s="36">
        <v>5.9722222222222225E-2</v>
      </c>
      <c r="W301" s="30" t="s">
        <v>91</v>
      </c>
      <c r="X301" s="30"/>
      <c r="Y301" s="30"/>
      <c r="Z301" s="30"/>
      <c r="AA301" s="30"/>
      <c r="AB301" s="30"/>
      <c r="AC301" s="30"/>
    </row>
    <row r="302" spans="2:29">
      <c r="B302" s="47" t="s">
        <v>316</v>
      </c>
      <c r="C302" s="47"/>
      <c r="D302" s="36">
        <v>0.53472222222222221</v>
      </c>
      <c r="E302" s="36">
        <v>0.53472222222222221</v>
      </c>
      <c r="F302" s="36">
        <v>0.62013888888888891</v>
      </c>
      <c r="G302" s="36">
        <v>0.62013888888888891</v>
      </c>
      <c r="H302" s="30" t="s">
        <v>29</v>
      </c>
      <c r="I302" s="38">
        <v>0.54166666666666663</v>
      </c>
      <c r="J302" s="30" t="s">
        <v>29</v>
      </c>
      <c r="K302" s="38">
        <v>0.61319444444444449</v>
      </c>
      <c r="L302" s="28">
        <v>1103</v>
      </c>
      <c r="M302" s="31">
        <v>0.55069444444444449</v>
      </c>
      <c r="N302" s="38">
        <v>0.60624999999999996</v>
      </c>
      <c r="O302" s="31">
        <v>6.6666666666666666E-2</v>
      </c>
      <c r="P302" s="39">
        <v>23.8</v>
      </c>
      <c r="Q302" s="36">
        <v>7.1527777777777773E-2</v>
      </c>
      <c r="R302" s="39"/>
      <c r="W302" s="30" t="s">
        <v>91</v>
      </c>
      <c r="X302" s="30"/>
      <c r="Y302" s="30"/>
      <c r="Z302" s="30"/>
      <c r="AA302" s="30"/>
      <c r="AB302" s="30"/>
      <c r="AC302" s="30"/>
    </row>
    <row r="303" spans="2:29">
      <c r="B303" s="47" t="s">
        <v>516</v>
      </c>
      <c r="C303" s="47"/>
      <c r="D303" s="36">
        <v>0.67152777777777772</v>
      </c>
      <c r="E303" s="36">
        <v>0.67152777777777772</v>
      </c>
      <c r="F303" s="36">
        <v>0.7944444444444444</v>
      </c>
      <c r="G303" s="36">
        <v>0.7944444444444444</v>
      </c>
      <c r="H303" s="30" t="s">
        <v>29</v>
      </c>
      <c r="I303" s="38">
        <v>0.67847222222222225</v>
      </c>
      <c r="J303" s="30" t="s">
        <v>44</v>
      </c>
      <c r="K303" s="38">
        <v>0.78749999999999998</v>
      </c>
      <c r="L303" s="28">
        <v>1103</v>
      </c>
      <c r="M303" s="31">
        <v>0.6875</v>
      </c>
      <c r="N303" s="38">
        <v>0.78055555555555556</v>
      </c>
      <c r="O303" s="31">
        <v>9.5138888888888884E-2</v>
      </c>
      <c r="P303" s="39">
        <v>35.299999999999997</v>
      </c>
      <c r="Q303" s="36">
        <v>0.10416666666666667</v>
      </c>
      <c r="W303" s="30" t="s">
        <v>91</v>
      </c>
      <c r="X303" s="30"/>
      <c r="Y303" s="30"/>
      <c r="Z303" s="30"/>
      <c r="AA303" s="30"/>
      <c r="AB303" s="30"/>
      <c r="AC303" s="30"/>
    </row>
    <row r="304" spans="2:29">
      <c r="B304" s="47" t="s">
        <v>517</v>
      </c>
      <c r="C304" s="47"/>
      <c r="D304" s="151">
        <v>0.78819444444444442</v>
      </c>
      <c r="E304" s="36">
        <v>0.78819444444444442</v>
      </c>
      <c r="F304" s="36">
        <v>0.84791666666666665</v>
      </c>
      <c r="G304" s="36">
        <v>0.84791666666666665</v>
      </c>
      <c r="H304" s="30" t="s">
        <v>44</v>
      </c>
      <c r="I304" s="38">
        <v>0.79513888888888884</v>
      </c>
      <c r="J304" s="30" t="s">
        <v>402</v>
      </c>
      <c r="K304" s="38">
        <v>0.84097222222222223</v>
      </c>
      <c r="L304" s="28">
        <v>1103</v>
      </c>
      <c r="M304" s="31">
        <v>0.8041666666666667</v>
      </c>
      <c r="N304" s="38">
        <v>0.84097222222222223</v>
      </c>
      <c r="O304" s="31">
        <v>4.0972222222222222E-2</v>
      </c>
      <c r="P304" s="39">
        <v>16.399999999999999</v>
      </c>
      <c r="Q304" s="36">
        <v>4.0972222222222222E-2</v>
      </c>
      <c r="W304" s="30" t="s">
        <v>91</v>
      </c>
      <c r="X304" s="30"/>
      <c r="Y304" s="30"/>
      <c r="Z304" s="30"/>
      <c r="AA304" s="30"/>
      <c r="AB304" s="30"/>
      <c r="AC304" s="30"/>
    </row>
    <row r="305" spans="2:29">
      <c r="B305" s="47" t="s">
        <v>518</v>
      </c>
      <c r="C305" s="47"/>
      <c r="D305" s="36">
        <v>0.78819444444444442</v>
      </c>
      <c r="E305" s="36">
        <v>0.78819444444444442</v>
      </c>
      <c r="F305" s="36">
        <v>0.87222222222222223</v>
      </c>
      <c r="G305" s="36">
        <v>0.87222222222222223</v>
      </c>
      <c r="H305" s="30" t="s">
        <v>44</v>
      </c>
      <c r="I305" s="38">
        <v>0.79513888888888884</v>
      </c>
      <c r="J305" s="30" t="s">
        <v>29</v>
      </c>
      <c r="K305" s="38">
        <v>0.86527777777777781</v>
      </c>
      <c r="L305" s="28">
        <v>1103</v>
      </c>
      <c r="M305" s="31">
        <v>0.8041666666666667</v>
      </c>
      <c r="N305" s="38">
        <v>0.86527777777777781</v>
      </c>
      <c r="O305" s="31">
        <v>6.5277777777777782E-2</v>
      </c>
      <c r="P305" s="39">
        <v>28.4</v>
      </c>
      <c r="Q305" s="36">
        <v>6.5277777777777782E-2</v>
      </c>
      <c r="W305" s="30" t="s">
        <v>91</v>
      </c>
      <c r="X305" s="30"/>
      <c r="Y305" s="30"/>
      <c r="Z305" s="30"/>
      <c r="AA305" s="30"/>
      <c r="AB305" s="30"/>
      <c r="AC305" s="30"/>
    </row>
    <row r="306" spans="2:29">
      <c r="B306" s="47" t="s">
        <v>314</v>
      </c>
      <c r="C306" s="83"/>
      <c r="D306" s="31" t="str">
        <f ca="1">IF($A$4="平日","6:11","10:07")</f>
        <v>6:11</v>
      </c>
      <c r="E306" s="31" t="str">
        <f ca="1">IF($A$4="平日","6:11","10:07")</f>
        <v>6:11</v>
      </c>
      <c r="F306" s="31">
        <v>0.87222222222222223</v>
      </c>
      <c r="G306" s="31">
        <v>0.87222222222222223</v>
      </c>
      <c r="H306" s="30" t="s">
        <v>29</v>
      </c>
      <c r="I306" s="31" t="str">
        <f ca="1">IF($A$4="平日","6:26","10:17")</f>
        <v>6:26</v>
      </c>
      <c r="J306" s="30" t="s">
        <v>29</v>
      </c>
      <c r="K306" s="38">
        <v>0.86527777777777781</v>
      </c>
      <c r="L306" s="30" t="str">
        <f ca="1">IF($A$4="平日","439     1588     1103","1588     1103")</f>
        <v>439     1588     1103</v>
      </c>
      <c r="M306" s="31" t="str">
        <f ca="1">IF($A$4="平日","6:39","10:23")</f>
        <v>6:39</v>
      </c>
      <c r="N306" s="31">
        <v>0.86527777777777781</v>
      </c>
      <c r="O306" s="31" t="str">
        <f ca="1">IF($A$4="平日","9:12","6:53")</f>
        <v>9:12</v>
      </c>
      <c r="P306" s="40">
        <f ca="1">IF($A$4="平日",140.8,106.1)</f>
        <v>140.80000000000001</v>
      </c>
      <c r="Q306" s="31" t="str">
        <f ca="1">IF($A$4="平日","9:57","7:33")</f>
        <v>9:57</v>
      </c>
      <c r="W306" s="30" t="s">
        <v>91</v>
      </c>
      <c r="X306" s="30"/>
      <c r="Y306" s="30"/>
      <c r="Z306" s="30"/>
      <c r="AA306" s="30"/>
      <c r="AB306" s="30"/>
      <c r="AC306" s="30"/>
    </row>
    <row r="307" spans="2:29">
      <c r="B307" s="47" t="s">
        <v>315</v>
      </c>
      <c r="C307" s="46"/>
      <c r="D307" s="31" t="str">
        <f ca="1">IF($A$4="平日","6:11","10:07")</f>
        <v>6:11</v>
      </c>
      <c r="E307" s="31" t="str">
        <f ca="1">IF($A$4="平日","6:11","10:07")</f>
        <v>6:11</v>
      </c>
      <c r="F307" s="31">
        <v>0.84791666666666665</v>
      </c>
      <c r="G307" s="31">
        <v>0.84791666666666665</v>
      </c>
      <c r="H307" s="30" t="s">
        <v>29</v>
      </c>
      <c r="I307" s="31" t="str">
        <f ca="1">IF($A$4="平日","6:26","10:17")</f>
        <v>6:26</v>
      </c>
      <c r="J307" s="30" t="s">
        <v>403</v>
      </c>
      <c r="K307" s="38">
        <v>0.84097222222222223</v>
      </c>
      <c r="L307" s="30" t="str">
        <f ca="1">IF($A$4="平日","439     1588     1103","1588     1103")</f>
        <v>439     1588     1103</v>
      </c>
      <c r="M307" s="31" t="str">
        <f ca="1">IF($A$4="平日","6:39","10:23")</f>
        <v>6:39</v>
      </c>
      <c r="N307" s="31">
        <v>0.84097222222222223</v>
      </c>
      <c r="O307" s="31" t="str">
        <f ca="1">IF($A$4="平日","8:37","6:18")</f>
        <v>8:37</v>
      </c>
      <c r="P307" s="40">
        <f ca="1">IF($A$4="平日",128.8,94.1)</f>
        <v>128.80000000000001</v>
      </c>
      <c r="Q307" s="31" t="str">
        <f ca="1">IF($A$4="平日","9:22","6:58")</f>
        <v>9:22</v>
      </c>
      <c r="W307" s="30" t="s">
        <v>91</v>
      </c>
      <c r="X307" s="30"/>
      <c r="Y307" s="30"/>
      <c r="Z307" s="30"/>
      <c r="AA307" s="30"/>
      <c r="AB307" s="30"/>
      <c r="AC307" s="30"/>
    </row>
    <row r="308" spans="2:29">
      <c r="B308" s="47" t="s">
        <v>317</v>
      </c>
      <c r="C308" s="83"/>
      <c r="D308" s="36">
        <v>0.23541666666666666</v>
      </c>
      <c r="E308" s="36">
        <v>0.23541666666666666</v>
      </c>
      <c r="F308" s="31" t="str">
        <f ca="1">IF($A$4="平日","8:22","7:45")</f>
        <v>8:22</v>
      </c>
      <c r="G308" s="31" t="str">
        <f ca="1">IF($A$4="平日","8:22","7:45")</f>
        <v>8:22</v>
      </c>
      <c r="H308" s="30" t="s">
        <v>29</v>
      </c>
      <c r="I308" s="38">
        <v>0.24583333333333332</v>
      </c>
      <c r="J308" s="30" t="s">
        <v>29</v>
      </c>
      <c r="K308" s="31" t="str">
        <f ca="1">IF($A$4="平日","8:12","7:35")</f>
        <v>8:12</v>
      </c>
      <c r="L308" s="29" t="s">
        <v>539</v>
      </c>
      <c r="M308" s="31">
        <v>0.24583333333333332</v>
      </c>
      <c r="N308" s="31" t="str">
        <f ca="1">IF($A$4="平日","8:12","7:25")</f>
        <v>8:12</v>
      </c>
      <c r="O308" s="31" t="str">
        <f ca="1">IF($A$4="平日","2:00","1:41")</f>
        <v>2:00</v>
      </c>
      <c r="P308" s="40">
        <f ca="1">IF($A$4="平日",33.7,30.9)</f>
        <v>33.700000000000003</v>
      </c>
      <c r="Q308" s="31" t="str">
        <f ca="1">IF($A$4="平日","2:25","2:06")</f>
        <v>2:25</v>
      </c>
      <c r="W308" s="30" t="s">
        <v>91</v>
      </c>
      <c r="X308" s="30"/>
      <c r="Y308" s="30"/>
      <c r="Z308" s="30"/>
      <c r="AA308" s="30"/>
      <c r="AB308" s="30"/>
      <c r="AC308" s="30"/>
    </row>
    <row r="309" spans="2:29">
      <c r="B309" s="47" t="s">
        <v>318</v>
      </c>
      <c r="C309" s="46"/>
      <c r="D309" s="36">
        <v>0.26180555555555557</v>
      </c>
      <c r="E309" s="36">
        <v>0.26180555555555557</v>
      </c>
      <c r="F309" s="31" t="str">
        <f ca="1">IF($A$4="平日","8:22","7:45")</f>
        <v>8:22</v>
      </c>
      <c r="G309" s="31" t="str">
        <f ca="1">IF($A$4="平日","8:22","7:45")</f>
        <v>8:22</v>
      </c>
      <c r="H309" s="30" t="s">
        <v>403</v>
      </c>
      <c r="I309" s="38">
        <v>0.2722222222222222</v>
      </c>
      <c r="J309" s="30" t="s">
        <v>29</v>
      </c>
      <c r="K309" s="31" t="str">
        <f ca="1">IF($A$4="平日","8:12","7:35")</f>
        <v>8:12</v>
      </c>
      <c r="L309" s="28">
        <v>1103</v>
      </c>
      <c r="M309" s="31">
        <v>0.2722222222222222</v>
      </c>
      <c r="N309" s="31" t="str">
        <f ca="1">IF($A$4="平日","8:12","7:25")</f>
        <v>8:12</v>
      </c>
      <c r="O309" s="31" t="str">
        <f ca="1">IF($A$4="平日","1:22","1:03")</f>
        <v>1:22</v>
      </c>
      <c r="P309" s="40">
        <f ca="1">IF($A$4="平日",21.7,18.9)</f>
        <v>21.7</v>
      </c>
      <c r="Q309" s="31" t="str">
        <f ca="1">IF($A$4="平日","1:47","1:28")</f>
        <v>1:47</v>
      </c>
      <c r="W309" s="30" t="s">
        <v>91</v>
      </c>
      <c r="X309" s="30"/>
      <c r="Y309" s="30"/>
      <c r="Z309" s="30"/>
      <c r="AA309" s="30"/>
      <c r="AB309" s="30"/>
      <c r="AC309" s="30"/>
    </row>
    <row r="310" spans="2:29">
      <c r="B310" s="47" t="s">
        <v>563</v>
      </c>
      <c r="C310" s="47"/>
      <c r="D310" s="36">
        <v>0.2638888888888889</v>
      </c>
      <c r="E310" s="36">
        <v>0.2638888888888889</v>
      </c>
      <c r="F310" s="31">
        <v>0.37569444444444444</v>
      </c>
      <c r="G310" s="31">
        <v>0.37569444444444444</v>
      </c>
      <c r="H310" s="30" t="s">
        <v>29</v>
      </c>
      <c r="I310" s="38">
        <v>0.27430555555555558</v>
      </c>
      <c r="J310" s="30" t="s">
        <v>29</v>
      </c>
      <c r="K310" s="38">
        <v>0.36875000000000002</v>
      </c>
      <c r="L310" s="28" t="s">
        <v>564</v>
      </c>
      <c r="M310" s="31">
        <v>0.28333333333333333</v>
      </c>
      <c r="N310" s="31">
        <v>0.36180555555555555</v>
      </c>
      <c r="O310" s="31">
        <v>8.9583333333333334E-2</v>
      </c>
      <c r="P310" s="39">
        <v>33</v>
      </c>
      <c r="Q310" s="31">
        <v>9.4444444444444442E-2</v>
      </c>
      <c r="W310" s="30" t="s">
        <v>91</v>
      </c>
      <c r="X310" s="30"/>
      <c r="Y310" s="30"/>
      <c r="Z310" s="30"/>
      <c r="AA310" s="30"/>
      <c r="AB310" s="30"/>
      <c r="AC310" s="30"/>
    </row>
    <row r="311" spans="2:29">
      <c r="B311" s="47" t="s">
        <v>519</v>
      </c>
      <c r="C311" s="47"/>
      <c r="D311" s="31" t="str">
        <f ca="1">IF($A$4="平日","10:51","10:46")</f>
        <v>10:51</v>
      </c>
      <c r="E311" s="31" t="str">
        <f ca="1">IF($A$4="平日","10:51","10:46")</f>
        <v>10:51</v>
      </c>
      <c r="F311" s="36">
        <v>0.53541666666666665</v>
      </c>
      <c r="G311" s="36">
        <v>0.53541666666666665</v>
      </c>
      <c r="H311" s="30" t="s">
        <v>29</v>
      </c>
      <c r="I311" s="31">
        <v>0.45902777777777776</v>
      </c>
      <c r="J311" s="30" t="s">
        <v>29</v>
      </c>
      <c r="K311" s="38">
        <v>0.52847222222222223</v>
      </c>
      <c r="L311" s="28">
        <v>1107</v>
      </c>
      <c r="M311" s="31">
        <v>0.46805555555555556</v>
      </c>
      <c r="N311" s="38">
        <v>0.52152777777777781</v>
      </c>
      <c r="O311" s="31">
        <v>6.3194444444444442E-2</v>
      </c>
      <c r="P311" s="39">
        <v>25</v>
      </c>
      <c r="Q311" s="31">
        <v>6.9444444444444448E-2</v>
      </c>
      <c r="W311" s="30" t="s">
        <v>91</v>
      </c>
      <c r="X311" s="30"/>
      <c r="Y311" s="30"/>
      <c r="Z311" s="30"/>
      <c r="AA311" s="30"/>
      <c r="AB311" s="30"/>
      <c r="AC311" s="30"/>
    </row>
    <row r="312" spans="2:29">
      <c r="B312" s="47" t="s">
        <v>520</v>
      </c>
      <c r="C312" s="47"/>
      <c r="D312" s="36">
        <v>0.56736111111111109</v>
      </c>
      <c r="E312" s="36">
        <v>0.56736111111111109</v>
      </c>
      <c r="F312" s="36">
        <v>0.6791666666666667</v>
      </c>
      <c r="G312" s="36">
        <v>0.6791666666666667</v>
      </c>
      <c r="H312" s="30" t="s">
        <v>29</v>
      </c>
      <c r="I312" s="38">
        <v>0.57430555555555551</v>
      </c>
      <c r="J312" s="30" t="s">
        <v>29</v>
      </c>
      <c r="K312" s="38">
        <v>0.67222222222222228</v>
      </c>
      <c r="L312" s="28">
        <v>1107</v>
      </c>
      <c r="M312" s="31">
        <v>0.58333333333333337</v>
      </c>
      <c r="N312" s="38">
        <v>0.66527777777777775</v>
      </c>
      <c r="O312" s="31">
        <v>9.2361111111111116E-2</v>
      </c>
      <c r="P312" s="39">
        <v>42.8</v>
      </c>
      <c r="Q312" s="36">
        <v>9.7916666666666666E-2</v>
      </c>
      <c r="W312" s="30" t="s">
        <v>91</v>
      </c>
      <c r="X312" s="30"/>
      <c r="Y312" s="30"/>
      <c r="Z312" s="30"/>
      <c r="AA312" s="30"/>
      <c r="AB312" s="30"/>
      <c r="AC312" s="30"/>
    </row>
    <row r="313" spans="2:29">
      <c r="B313" s="47" t="s">
        <v>521</v>
      </c>
      <c r="C313" s="47"/>
      <c r="D313" s="36">
        <v>0.69513888888888886</v>
      </c>
      <c r="E313" s="36">
        <v>0.69513888888888886</v>
      </c>
      <c r="F313" s="36">
        <v>0.84652777777777777</v>
      </c>
      <c r="G313" s="36">
        <v>0.84652777777777777</v>
      </c>
      <c r="H313" s="30" t="s">
        <v>29</v>
      </c>
      <c r="I313" s="38">
        <v>0.70208333333333328</v>
      </c>
      <c r="J313" s="30" t="s">
        <v>29</v>
      </c>
      <c r="K313" s="38">
        <v>0.83958333333333335</v>
      </c>
      <c r="L313" s="28">
        <v>1107</v>
      </c>
      <c r="M313" s="31">
        <v>0.70972222222222225</v>
      </c>
      <c r="N313" s="38">
        <v>0.83402777777777781</v>
      </c>
      <c r="O313" s="31">
        <v>0.12847222222222221</v>
      </c>
      <c r="P313" s="39">
        <v>59.2</v>
      </c>
      <c r="Q313" s="36">
        <v>0.13750000000000001</v>
      </c>
      <c r="W313" s="30" t="s">
        <v>91</v>
      </c>
      <c r="X313" s="30"/>
      <c r="Y313" s="30"/>
      <c r="Z313" s="30"/>
      <c r="AA313" s="30"/>
      <c r="AB313" s="30"/>
      <c r="AC313" s="30"/>
    </row>
    <row r="314" spans="2:29">
      <c r="B314" s="47" t="s">
        <v>339</v>
      </c>
      <c r="C314" s="46"/>
      <c r="D314" s="31" t="str">
        <f ca="1">IF($A$4="平日","6:20","10:46")</f>
        <v>6:20</v>
      </c>
      <c r="E314" s="31" t="str">
        <f ca="1">IF($A$4="平日","6:20","10:46")</f>
        <v>6:20</v>
      </c>
      <c r="F314" s="31">
        <v>0.84652777777777777</v>
      </c>
      <c r="G314" s="31">
        <v>0.84652777777777777</v>
      </c>
      <c r="H314" s="30" t="s">
        <v>29</v>
      </c>
      <c r="I314" s="31" t="str">
        <f ca="1">IF($A$4="平日","6:35","11:01")</f>
        <v>6:35</v>
      </c>
      <c r="J314" s="30" t="s">
        <v>29</v>
      </c>
      <c r="K314" s="38">
        <v>0.83958333333333335</v>
      </c>
      <c r="L314" s="30">
        <v>1107</v>
      </c>
      <c r="M314" s="31" t="str">
        <f ca="1">IF($A$4="平日","6:48","11:14")</f>
        <v>6:48</v>
      </c>
      <c r="N314" s="31">
        <v>0.83402777777777781</v>
      </c>
      <c r="O314" s="31" t="str">
        <f ca="1">IF($A$4="平日","8:58","6:49")</f>
        <v>8:58</v>
      </c>
      <c r="P314" s="40">
        <f ca="1">IF($A$4="平日",160,127)</f>
        <v>160</v>
      </c>
      <c r="Q314" s="31" t="str">
        <f ca="1">IF($A$4="平日","10:00","7:44")</f>
        <v>10:00</v>
      </c>
      <c r="W314" s="30" t="s">
        <v>91</v>
      </c>
      <c r="X314" s="30"/>
      <c r="Y314" s="30"/>
      <c r="Z314" s="30"/>
      <c r="AA314" s="30"/>
      <c r="AB314" s="30"/>
      <c r="AC314" s="30"/>
    </row>
    <row r="315" spans="2:29">
      <c r="B315" s="47" t="s">
        <v>623</v>
      </c>
      <c r="C315" s="26"/>
      <c r="D315" s="36">
        <v>0.25972222222222224</v>
      </c>
      <c r="E315" s="36">
        <v>0.25972222222222224</v>
      </c>
      <c r="F315" s="36">
        <v>0.40069444444444446</v>
      </c>
      <c r="G315" s="36">
        <v>0.40069444444444446</v>
      </c>
      <c r="H315" s="30" t="s">
        <v>29</v>
      </c>
      <c r="I315" s="38">
        <v>0.27013888888888887</v>
      </c>
      <c r="J315" s="30" t="s">
        <v>29</v>
      </c>
      <c r="K315" s="38">
        <v>0.39374999999999999</v>
      </c>
      <c r="L315" s="29" t="s">
        <v>112</v>
      </c>
      <c r="M315" s="31">
        <v>0.27916666666666667</v>
      </c>
      <c r="N315" s="36">
        <v>0.39374999999999999</v>
      </c>
      <c r="O315" s="29" t="s">
        <v>624</v>
      </c>
      <c r="P315" s="73">
        <v>40.9</v>
      </c>
      <c r="Q315" s="29" t="s">
        <v>625</v>
      </c>
      <c r="W315" s="30" t="s">
        <v>91</v>
      </c>
      <c r="X315" s="30"/>
      <c r="Y315" s="30"/>
      <c r="Z315" s="30"/>
      <c r="AA315" s="30"/>
      <c r="AB315" s="30"/>
      <c r="AC315" s="30"/>
    </row>
    <row r="316" spans="2:29">
      <c r="B316" s="47" t="s">
        <v>522</v>
      </c>
      <c r="C316" s="47"/>
      <c r="D316" s="36">
        <v>0.47361111111111109</v>
      </c>
      <c r="E316" s="36">
        <v>0.47361111111111109</v>
      </c>
      <c r="F316" s="36">
        <v>0.59652777777777777</v>
      </c>
      <c r="G316" s="36">
        <v>0.59652777777777777</v>
      </c>
      <c r="H316" s="30" t="s">
        <v>29</v>
      </c>
      <c r="I316" s="38">
        <v>0.48055555555555557</v>
      </c>
      <c r="J316" s="30" t="s">
        <v>29</v>
      </c>
      <c r="K316" s="38">
        <v>0.58958333333333335</v>
      </c>
      <c r="L316" s="28" t="s">
        <v>112</v>
      </c>
      <c r="M316" s="31">
        <v>0.48958333333333331</v>
      </c>
      <c r="N316" s="38">
        <v>0.58263888888888893</v>
      </c>
      <c r="O316" s="31">
        <v>0.10277777777777777</v>
      </c>
      <c r="P316" s="39">
        <v>41.8</v>
      </c>
      <c r="Q316" s="36">
        <v>0.10902777777777778</v>
      </c>
      <c r="W316" s="30" t="s">
        <v>91</v>
      </c>
      <c r="X316" s="30"/>
      <c r="Y316" s="30"/>
      <c r="Z316" s="30"/>
      <c r="AA316" s="30"/>
      <c r="AB316" s="30"/>
      <c r="AC316" s="30"/>
    </row>
    <row r="317" spans="2:29">
      <c r="B317" s="47" t="s">
        <v>523</v>
      </c>
      <c r="C317" s="47"/>
      <c r="D317" s="36">
        <v>0.63888888888888884</v>
      </c>
      <c r="E317" s="36">
        <v>0.63888888888888884</v>
      </c>
      <c r="F317" s="36">
        <v>0.73333333333333328</v>
      </c>
      <c r="G317" s="36">
        <v>0.73333333333333328</v>
      </c>
      <c r="H317" s="30" t="s">
        <v>29</v>
      </c>
      <c r="I317" s="38">
        <v>0.64583333333333337</v>
      </c>
      <c r="J317" s="30" t="s">
        <v>29</v>
      </c>
      <c r="K317" s="38">
        <v>0.72638888888888886</v>
      </c>
      <c r="L317" s="28" t="s">
        <v>112</v>
      </c>
      <c r="M317" s="31">
        <v>0.65486111111111112</v>
      </c>
      <c r="N317" s="38">
        <v>0.71944444444444444</v>
      </c>
      <c r="O317" s="31">
        <v>6.3194444444444442E-2</v>
      </c>
      <c r="P317" s="39">
        <v>25</v>
      </c>
      <c r="Q317" s="36">
        <v>6.3194444444444442E-2</v>
      </c>
      <c r="W317" s="30" t="s">
        <v>91</v>
      </c>
      <c r="X317" s="30"/>
      <c r="Y317" s="30"/>
      <c r="Z317" s="30"/>
      <c r="AA317" s="30"/>
      <c r="AB317" s="30"/>
      <c r="AC317" s="30"/>
    </row>
    <row r="318" spans="2:29">
      <c r="B318" s="47" t="s">
        <v>319</v>
      </c>
      <c r="C318" s="47"/>
      <c r="D318" s="36">
        <v>0.75486111111111109</v>
      </c>
      <c r="E318" s="36">
        <v>0.75486111111111109</v>
      </c>
      <c r="F318" s="36">
        <v>0.87916666666666665</v>
      </c>
      <c r="G318" s="36">
        <v>0.87916666666666665</v>
      </c>
      <c r="H318" s="30" t="s">
        <v>29</v>
      </c>
      <c r="I318" s="38">
        <v>0.76180555555555551</v>
      </c>
      <c r="J318" s="30" t="s">
        <v>29</v>
      </c>
      <c r="K318" s="38">
        <v>0.87222222222222223</v>
      </c>
      <c r="L318" s="28" t="s">
        <v>112</v>
      </c>
      <c r="M318" s="31">
        <v>0.77083333333333337</v>
      </c>
      <c r="N318" s="38">
        <v>0.86527777777777781</v>
      </c>
      <c r="O318" s="31">
        <v>0.10138888888888889</v>
      </c>
      <c r="P318" s="39">
        <v>37.1</v>
      </c>
      <c r="Q318" s="36">
        <v>0.11041666666666666</v>
      </c>
      <c r="W318" s="30" t="s">
        <v>91</v>
      </c>
      <c r="X318" s="30"/>
      <c r="Y318" s="30"/>
      <c r="Z318" s="30"/>
      <c r="AA318" s="30"/>
      <c r="AB318" s="30"/>
      <c r="AC318" s="30"/>
    </row>
    <row r="319" spans="2:29">
      <c r="B319" s="47" t="s">
        <v>320</v>
      </c>
      <c r="C319" s="47"/>
      <c r="D319" s="36">
        <v>0.75486111111111109</v>
      </c>
      <c r="E319" s="36">
        <v>0.75486111111111109</v>
      </c>
      <c r="F319" s="36">
        <v>0.81180555555555556</v>
      </c>
      <c r="G319" s="36">
        <v>0.81180555555555556</v>
      </c>
      <c r="H319" s="30" t="s">
        <v>29</v>
      </c>
      <c r="I319" s="38">
        <v>0.76180555555555551</v>
      </c>
      <c r="J319" s="30" t="s">
        <v>29</v>
      </c>
      <c r="K319" s="38">
        <v>0.80486111111111114</v>
      </c>
      <c r="L319" s="28" t="s">
        <v>112</v>
      </c>
      <c r="M319" s="31">
        <v>0.77083333333333337</v>
      </c>
      <c r="N319" s="38">
        <v>0.79791666666666672</v>
      </c>
      <c r="O319" s="31">
        <v>4.3055555555555555E-2</v>
      </c>
      <c r="P319" s="39">
        <v>16.3</v>
      </c>
      <c r="Q319" s="36">
        <v>4.3055555555555555E-2</v>
      </c>
      <c r="W319" s="30" t="s">
        <v>91</v>
      </c>
      <c r="X319" s="30"/>
      <c r="Y319" s="30"/>
      <c r="Z319" s="30"/>
      <c r="AA319" s="30"/>
      <c r="AB319" s="30"/>
      <c r="AC319" s="30"/>
    </row>
    <row r="320" spans="2:29">
      <c r="B320" s="47" t="s">
        <v>340</v>
      </c>
      <c r="C320" s="46"/>
      <c r="D320" s="31">
        <v>0.25972222222222224</v>
      </c>
      <c r="E320" s="31">
        <v>0.25972222222222224</v>
      </c>
      <c r="F320" s="31" t="str">
        <f ca="1">IF($A$4="平日","21:06","19:29")</f>
        <v>21:06</v>
      </c>
      <c r="G320" s="31" t="str">
        <f ca="1">IF($A$4="平日","21:06","19:29")</f>
        <v>21:06</v>
      </c>
      <c r="H320" s="30" t="s">
        <v>29</v>
      </c>
      <c r="I320" s="31">
        <v>0.27013888888888887</v>
      </c>
      <c r="J320" s="30" t="s">
        <v>29</v>
      </c>
      <c r="K320" s="31" t="str">
        <f ca="1">IF($A$4="平日","20:56","19:19")</f>
        <v>20:56</v>
      </c>
      <c r="L320" s="28" t="s">
        <v>112</v>
      </c>
      <c r="M320" s="31">
        <v>0.27916666666666667</v>
      </c>
      <c r="N320" s="31" t="str">
        <f ca="1">IF($A$4="平日","20:46","19:09")</f>
        <v>20:46</v>
      </c>
      <c r="O320" s="31" t="str">
        <f ca="1">IF($A$4="平日","9:14","7:50")</f>
        <v>9:14</v>
      </c>
      <c r="P320" s="39">
        <f ca="1">IF($A$4="平日",144.8,124)</f>
        <v>144.80000000000001</v>
      </c>
      <c r="Q320" s="31" t="str">
        <f ca="1">IF($A$4="平日","10:10","8:33")</f>
        <v>10:10</v>
      </c>
      <c r="W320" s="30" t="s">
        <v>91</v>
      </c>
      <c r="X320" s="30"/>
      <c r="Y320" s="30"/>
      <c r="Z320" s="30"/>
      <c r="AA320" s="30"/>
      <c r="AB320" s="30"/>
      <c r="AC320" s="30"/>
    </row>
    <row r="321" spans="2:29">
      <c r="B321" s="47" t="s">
        <v>341</v>
      </c>
      <c r="C321" s="46"/>
      <c r="D321" s="36">
        <v>0.27708333333333335</v>
      </c>
      <c r="E321" s="36">
        <v>0.27708333333333335</v>
      </c>
      <c r="F321" s="36">
        <v>0.3840277777777778</v>
      </c>
      <c r="G321" s="36">
        <v>0.3840277777777778</v>
      </c>
      <c r="H321" s="30" t="s">
        <v>29</v>
      </c>
      <c r="I321" s="38">
        <v>0.28749999999999998</v>
      </c>
      <c r="J321" s="30" t="s">
        <v>29</v>
      </c>
      <c r="K321" s="38">
        <v>0.37708333333333333</v>
      </c>
      <c r="L321" s="28" t="s">
        <v>135</v>
      </c>
      <c r="M321" s="31">
        <v>0.29652777777777778</v>
      </c>
      <c r="N321" s="38">
        <v>0.37708333333333333</v>
      </c>
      <c r="O321" s="31">
        <v>8.5416666666666669E-2</v>
      </c>
      <c r="P321" s="72">
        <v>33.5</v>
      </c>
      <c r="Q321" s="36">
        <v>0.10694444444444444</v>
      </c>
      <c r="R321" s="39">
        <f ca="1">IF($A$4="平日",144.8,124)</f>
        <v>144.80000000000001</v>
      </c>
      <c r="W321" s="30" t="s">
        <v>91</v>
      </c>
      <c r="X321" s="30"/>
      <c r="Y321" s="30"/>
      <c r="Z321" s="30"/>
      <c r="AA321" s="30"/>
      <c r="AB321" s="30"/>
      <c r="AC321" s="30"/>
    </row>
    <row r="322" spans="2:29">
      <c r="R322" s="31"/>
      <c r="S322" s="28"/>
      <c r="T322" s="28"/>
      <c r="W322" s="30"/>
      <c r="X322" s="30"/>
      <c r="Y322" s="30"/>
      <c r="Z322" s="30"/>
      <c r="AA322" s="30"/>
      <c r="AB322" s="30"/>
      <c r="AC322" s="30"/>
    </row>
    <row r="323" spans="2:29">
      <c r="B323" s="47" t="s">
        <v>524</v>
      </c>
      <c r="C323" s="26"/>
      <c r="D323" s="36">
        <v>0.27708333333333335</v>
      </c>
      <c r="E323" s="36">
        <v>0.27708333333333335</v>
      </c>
      <c r="F323" s="36">
        <v>0.42291666666666666</v>
      </c>
      <c r="G323" s="36">
        <v>0.42291666666666666</v>
      </c>
      <c r="H323" s="30" t="s">
        <v>29</v>
      </c>
      <c r="I323" s="38">
        <v>0.28749999999999998</v>
      </c>
      <c r="J323" s="30" t="s">
        <v>29</v>
      </c>
      <c r="K323" s="38">
        <v>0.41597222222222224</v>
      </c>
      <c r="L323" s="28" t="s">
        <v>685</v>
      </c>
      <c r="M323" s="31">
        <v>0.2951388888888889</v>
      </c>
      <c r="N323" s="38">
        <v>0.41041666666666665</v>
      </c>
      <c r="O323" s="31">
        <v>0.12361111111111112</v>
      </c>
      <c r="P323" s="72">
        <v>59.2</v>
      </c>
      <c r="Q323" s="36">
        <v>0.12847222222222221</v>
      </c>
      <c r="W323" s="30" t="s">
        <v>164</v>
      </c>
      <c r="X323" s="30"/>
      <c r="Y323" s="30"/>
      <c r="Z323" s="30"/>
      <c r="AA323" s="30"/>
      <c r="AB323" s="30"/>
      <c r="AC323" s="30"/>
    </row>
    <row r="324" spans="2:29">
      <c r="B324" s="47" t="s">
        <v>407</v>
      </c>
      <c r="C324" s="26"/>
      <c r="D324" s="36">
        <v>0.52361111111111114</v>
      </c>
      <c r="E324" s="36">
        <v>0.52361111111111114</v>
      </c>
      <c r="F324" s="36">
        <v>0.62986111111111109</v>
      </c>
      <c r="G324" s="36">
        <v>0.62986111111111109</v>
      </c>
      <c r="H324" s="30" t="s">
        <v>29</v>
      </c>
      <c r="I324" s="38">
        <v>0.53055555555555556</v>
      </c>
      <c r="J324" s="30" t="s">
        <v>29</v>
      </c>
      <c r="K324" s="38">
        <v>0.62291666666666667</v>
      </c>
      <c r="L324" s="28" t="s">
        <v>685</v>
      </c>
      <c r="M324" s="31">
        <v>0.5395833333333333</v>
      </c>
      <c r="N324" s="38">
        <v>0.61597222222222225</v>
      </c>
      <c r="O324" s="31">
        <v>8.5416666666666669E-2</v>
      </c>
      <c r="P324" s="72">
        <v>37.799999999999997</v>
      </c>
      <c r="Q324" s="36">
        <v>9.2361111111111116E-2</v>
      </c>
      <c r="W324" s="30" t="s">
        <v>164</v>
      </c>
      <c r="X324" s="30"/>
      <c r="Y324" s="30"/>
      <c r="Z324" s="30"/>
      <c r="AA324" s="30"/>
      <c r="AB324" s="30"/>
      <c r="AC324" s="30"/>
    </row>
    <row r="325" spans="2:29">
      <c r="B325" s="47" t="s">
        <v>626</v>
      </c>
      <c r="C325" s="26"/>
      <c r="D325" s="36">
        <v>0.64513888888888893</v>
      </c>
      <c r="E325" s="36">
        <v>0.64513888888888893</v>
      </c>
      <c r="F325" s="36">
        <v>0.78749999999999998</v>
      </c>
      <c r="G325" s="36">
        <v>0.78749999999999998</v>
      </c>
      <c r="H325" s="30" t="s">
        <v>29</v>
      </c>
      <c r="I325" s="38">
        <v>0.65208333333333335</v>
      </c>
      <c r="J325" s="30" t="s">
        <v>44</v>
      </c>
      <c r="K325" s="38">
        <v>0.78055555555555556</v>
      </c>
      <c r="L325" s="28" t="s">
        <v>685</v>
      </c>
      <c r="M325" s="31">
        <v>0.65416666666666667</v>
      </c>
      <c r="N325" s="38">
        <v>0.77361111111111114</v>
      </c>
      <c r="O325" s="31">
        <v>0.11041666666666666</v>
      </c>
      <c r="P325" s="72">
        <v>45.2</v>
      </c>
      <c r="Q325" s="36">
        <v>0.12361111111111112</v>
      </c>
      <c r="W325" s="30" t="s">
        <v>164</v>
      </c>
      <c r="X325" s="30"/>
      <c r="Y325" s="30"/>
      <c r="Z325" s="30"/>
      <c r="AA325" s="30"/>
      <c r="AB325" s="30"/>
      <c r="AC325" s="30"/>
    </row>
    <row r="326" spans="2:29">
      <c r="B326" s="47" t="s">
        <v>404</v>
      </c>
      <c r="C326" s="26"/>
      <c r="D326" s="36">
        <v>0.79652777777777772</v>
      </c>
      <c r="E326" s="36">
        <v>0.79652777777777772</v>
      </c>
      <c r="F326" s="36">
        <v>0.9</v>
      </c>
      <c r="G326" s="36">
        <v>0.9</v>
      </c>
      <c r="H326" s="30" t="s">
        <v>44</v>
      </c>
      <c r="I326" s="38">
        <v>0.80347222222222225</v>
      </c>
      <c r="J326" s="30" t="s">
        <v>29</v>
      </c>
      <c r="K326" s="38">
        <v>0.8930555555555556</v>
      </c>
      <c r="L326" s="28" t="s">
        <v>685</v>
      </c>
      <c r="M326" s="31">
        <v>0.8125</v>
      </c>
      <c r="N326" s="38">
        <v>0.88611111111111107</v>
      </c>
      <c r="O326" s="31">
        <v>8.0555555555555561E-2</v>
      </c>
      <c r="P326" s="72">
        <v>32.200000000000003</v>
      </c>
      <c r="Q326" s="36">
        <v>8.4722222222222227E-2</v>
      </c>
      <c r="W326" s="30" t="s">
        <v>164</v>
      </c>
      <c r="X326" s="30"/>
      <c r="Y326" s="30"/>
      <c r="Z326" s="30"/>
      <c r="AA326" s="30"/>
      <c r="AB326" s="30"/>
      <c r="AC326" s="30"/>
    </row>
    <row r="327" spans="2:29">
      <c r="B327" s="47" t="s">
        <v>237</v>
      </c>
      <c r="C327" s="46"/>
      <c r="D327" s="31">
        <v>0.27708333333333335</v>
      </c>
      <c r="E327" s="31">
        <v>0.27708333333333335</v>
      </c>
      <c r="F327" s="36">
        <v>0.9</v>
      </c>
      <c r="G327" s="36">
        <v>0.9</v>
      </c>
      <c r="H327" s="30" t="s">
        <v>29</v>
      </c>
      <c r="I327" s="31">
        <v>0.28749999999999998</v>
      </c>
      <c r="J327" s="30" t="s">
        <v>29</v>
      </c>
      <c r="K327" s="38">
        <v>0.8930555555555556</v>
      </c>
      <c r="L327" s="28" t="s">
        <v>685</v>
      </c>
      <c r="M327" s="31">
        <v>0.2951388888888889</v>
      </c>
      <c r="N327" s="38">
        <v>0.88611111111111107</v>
      </c>
      <c r="O327" s="31">
        <v>0.41458333333333336</v>
      </c>
      <c r="P327" s="39">
        <v>174.3</v>
      </c>
      <c r="Q327" s="31">
        <v>0.44305555555555554</v>
      </c>
      <c r="W327" s="30" t="s">
        <v>164</v>
      </c>
      <c r="X327" s="30"/>
      <c r="Y327" s="30"/>
      <c r="Z327" s="30"/>
      <c r="AA327" s="30"/>
      <c r="AB327" s="30"/>
      <c r="AC327" s="30"/>
    </row>
    <row r="328" spans="2:29">
      <c r="B328" s="47" t="s">
        <v>338</v>
      </c>
      <c r="C328" s="46"/>
      <c r="D328" s="31">
        <v>0.28125</v>
      </c>
      <c r="E328" s="31">
        <v>0.28125</v>
      </c>
      <c r="F328" s="36">
        <v>0.40069444444444446</v>
      </c>
      <c r="G328" s="36">
        <v>0.40069444444444446</v>
      </c>
      <c r="H328" s="30" t="s">
        <v>29</v>
      </c>
      <c r="I328" s="38">
        <v>0.29166666666666669</v>
      </c>
      <c r="J328" s="30" t="s">
        <v>29</v>
      </c>
      <c r="K328" s="38">
        <v>0.39374999999999999</v>
      </c>
      <c r="L328" s="28" t="s">
        <v>142</v>
      </c>
      <c r="M328" s="31">
        <v>0.30069444444444443</v>
      </c>
      <c r="N328" s="38">
        <v>0.38680555555555557</v>
      </c>
      <c r="O328" s="31">
        <v>9.6527777777777782E-2</v>
      </c>
      <c r="P328" s="39">
        <v>37.799999999999997</v>
      </c>
      <c r="Q328" s="31">
        <v>0.11944444444444445</v>
      </c>
      <c r="W328" s="30" t="s">
        <v>164</v>
      </c>
      <c r="X328" s="30"/>
      <c r="Y328" s="30"/>
      <c r="Z328" s="30"/>
      <c r="AA328" s="30"/>
      <c r="AB328" s="30"/>
      <c r="AC328" s="30"/>
    </row>
    <row r="329" spans="2:29">
      <c r="B329" s="47" t="s">
        <v>525</v>
      </c>
      <c r="C329" s="26"/>
      <c r="D329" s="36">
        <v>0.28194444444444444</v>
      </c>
      <c r="E329" s="36">
        <v>0.28194444444444444</v>
      </c>
      <c r="F329" s="36">
        <v>0.41388888888888886</v>
      </c>
      <c r="G329" s="36">
        <v>0.41180555555555554</v>
      </c>
      <c r="H329" s="30" t="s">
        <v>29</v>
      </c>
      <c r="I329" s="38">
        <v>0.29236111111111113</v>
      </c>
      <c r="J329" s="30" t="s">
        <v>29</v>
      </c>
      <c r="K329" s="38">
        <v>0.40486111111111112</v>
      </c>
      <c r="L329" s="28" t="s">
        <v>441</v>
      </c>
      <c r="M329" s="31">
        <v>0.30138888888888887</v>
      </c>
      <c r="N329" s="38">
        <v>0.40277777777777779</v>
      </c>
      <c r="O329" s="31">
        <v>0.1125</v>
      </c>
      <c r="P329" s="72">
        <v>34.6</v>
      </c>
      <c r="Q329" s="36">
        <v>0.1125</v>
      </c>
      <c r="W329" s="30" t="s">
        <v>164</v>
      </c>
      <c r="X329" s="30"/>
      <c r="Y329" s="30"/>
      <c r="Z329" s="30"/>
      <c r="AA329" s="30"/>
      <c r="AB329" s="30"/>
      <c r="AC329" s="30"/>
    </row>
    <row r="330" spans="2:29">
      <c r="B330" s="47" t="s">
        <v>526</v>
      </c>
      <c r="C330" s="26"/>
      <c r="D330" s="36">
        <v>0.56597222222222221</v>
      </c>
      <c r="E330" s="36">
        <v>0.56597222222222221</v>
      </c>
      <c r="F330" s="36">
        <v>0.69513888888888886</v>
      </c>
      <c r="G330" s="36">
        <v>0.69513888888888886</v>
      </c>
      <c r="H330" s="30" t="s">
        <v>29</v>
      </c>
      <c r="I330" s="38">
        <v>0.57291666666666663</v>
      </c>
      <c r="J330" s="30" t="s">
        <v>29</v>
      </c>
      <c r="K330" s="38">
        <v>0.68819444444444444</v>
      </c>
      <c r="L330" s="28" t="s">
        <v>528</v>
      </c>
      <c r="M330" s="31">
        <v>0.57708333333333328</v>
      </c>
      <c r="N330" s="38">
        <v>0.68611111111111112</v>
      </c>
      <c r="O330" s="31">
        <v>0.11527777777777778</v>
      </c>
      <c r="P330" s="72">
        <v>35</v>
      </c>
      <c r="Q330" s="36">
        <v>0.11527777777777778</v>
      </c>
      <c r="W330" s="30" t="s">
        <v>164</v>
      </c>
      <c r="X330" s="30"/>
      <c r="Y330" s="30"/>
      <c r="Z330" s="30"/>
      <c r="AA330" s="30"/>
      <c r="AB330" s="30"/>
      <c r="AC330" s="30"/>
    </row>
    <row r="331" spans="2:29">
      <c r="B331" s="47" t="s">
        <v>627</v>
      </c>
      <c r="C331" s="26"/>
      <c r="D331" s="36">
        <v>0.71458333333333335</v>
      </c>
      <c r="E331" s="36">
        <v>0.71458333333333335</v>
      </c>
      <c r="F331" s="36">
        <v>0.84513888888888888</v>
      </c>
      <c r="G331" s="36">
        <v>0.84513888888888888</v>
      </c>
      <c r="H331" s="30" t="s">
        <v>29</v>
      </c>
      <c r="I331" s="38">
        <v>0.72152777777777777</v>
      </c>
      <c r="J331" s="30" t="s">
        <v>29</v>
      </c>
      <c r="K331" s="38">
        <v>0.83819444444444446</v>
      </c>
      <c r="L331" s="28" t="s">
        <v>534</v>
      </c>
      <c r="M331" s="31">
        <v>0.72361111111111109</v>
      </c>
      <c r="N331" s="38">
        <v>0.83125000000000004</v>
      </c>
      <c r="O331" s="31">
        <v>0.10972222222222222</v>
      </c>
      <c r="P331" s="72">
        <v>40.799999999999997</v>
      </c>
      <c r="Q331" s="36">
        <v>0.11666666666666667</v>
      </c>
      <c r="W331" s="30" t="s">
        <v>164</v>
      </c>
      <c r="X331" s="30"/>
      <c r="Y331" s="30"/>
      <c r="Z331" s="30"/>
      <c r="AA331" s="30"/>
      <c r="AB331" s="30"/>
      <c r="AC331" s="30"/>
    </row>
    <row r="332" spans="2:29">
      <c r="B332" s="47" t="s">
        <v>530</v>
      </c>
      <c r="C332" s="26"/>
      <c r="D332" s="36">
        <v>0.34166666666666667</v>
      </c>
      <c r="E332" s="36">
        <v>0.34166666666666667</v>
      </c>
      <c r="F332" s="36">
        <v>0.41388888888888886</v>
      </c>
      <c r="G332" s="36">
        <v>0.41180555555555554</v>
      </c>
      <c r="H332" s="30" t="s">
        <v>29</v>
      </c>
      <c r="I332" s="38">
        <v>0.35208333333333336</v>
      </c>
      <c r="J332" s="30" t="s">
        <v>29</v>
      </c>
      <c r="K332" s="38">
        <v>0.40486111111111112</v>
      </c>
      <c r="L332" s="28" t="s">
        <v>441</v>
      </c>
      <c r="M332" s="31">
        <v>0.3611111111111111</v>
      </c>
      <c r="N332" s="38">
        <v>0.40277777777777779</v>
      </c>
      <c r="O332" s="31">
        <v>5.2777777777777778E-2</v>
      </c>
      <c r="P332" s="72">
        <v>18.2</v>
      </c>
      <c r="Q332" s="36">
        <v>5.2777777777777778E-2</v>
      </c>
      <c r="W332" s="30" t="s">
        <v>164</v>
      </c>
      <c r="X332" s="30"/>
      <c r="Y332" s="30"/>
      <c r="Z332" s="30"/>
      <c r="AA332" s="30"/>
      <c r="AB332" s="30"/>
      <c r="AC332" s="30"/>
    </row>
    <row r="333" spans="2:29">
      <c r="B333" s="47" t="s">
        <v>531</v>
      </c>
      <c r="C333" s="26"/>
      <c r="D333" s="36">
        <v>0.56041666666666667</v>
      </c>
      <c r="E333" s="36">
        <v>0.56041666666666667</v>
      </c>
      <c r="F333" s="36">
        <v>0.68958333333333333</v>
      </c>
      <c r="G333" s="36">
        <v>0.68958333333333333</v>
      </c>
      <c r="H333" s="30" t="s">
        <v>29</v>
      </c>
      <c r="I333" s="38">
        <v>0.56736111111111109</v>
      </c>
      <c r="J333" s="30" t="s">
        <v>29</v>
      </c>
      <c r="K333" s="38">
        <v>0.68263888888888891</v>
      </c>
      <c r="L333" s="28" t="s">
        <v>529</v>
      </c>
      <c r="M333" s="31">
        <v>0.57152777777777775</v>
      </c>
      <c r="N333" s="38">
        <v>0.68055555555555558</v>
      </c>
      <c r="O333" s="31">
        <v>0.11527777777777778</v>
      </c>
      <c r="P333" s="72">
        <v>35</v>
      </c>
      <c r="Q333" s="36">
        <v>0.11527777777777778</v>
      </c>
      <c r="W333" s="30" t="s">
        <v>164</v>
      </c>
      <c r="X333" s="30"/>
      <c r="Y333" s="30"/>
      <c r="Z333" s="30"/>
      <c r="AA333" s="30"/>
      <c r="AB333" s="30"/>
      <c r="AC333" s="30"/>
    </row>
    <row r="334" spans="2:29">
      <c r="B334" s="47" t="s">
        <v>532</v>
      </c>
      <c r="C334" s="26"/>
      <c r="D334" s="36">
        <v>0.69930555555555551</v>
      </c>
      <c r="E334" s="36">
        <v>0.69930555555555551</v>
      </c>
      <c r="F334" s="36">
        <v>0.78888888888888886</v>
      </c>
      <c r="G334" s="36">
        <v>0.78888888888888886</v>
      </c>
      <c r="H334" s="30" t="s">
        <v>29</v>
      </c>
      <c r="I334" s="38">
        <v>0.70625000000000004</v>
      </c>
      <c r="J334" s="30" t="s">
        <v>29</v>
      </c>
      <c r="K334" s="38">
        <v>0.78194444444444444</v>
      </c>
      <c r="L334" s="28" t="s">
        <v>527</v>
      </c>
      <c r="M334" s="31">
        <v>0.7104166666666667</v>
      </c>
      <c r="N334" s="38">
        <v>0.77500000000000002</v>
      </c>
      <c r="O334" s="31">
        <v>7.5694444444444439E-2</v>
      </c>
      <c r="P334" s="72">
        <v>23.4</v>
      </c>
      <c r="Q334" s="36">
        <v>7.5694444444444439E-2</v>
      </c>
      <c r="W334" s="30" t="s">
        <v>164</v>
      </c>
      <c r="X334" s="30"/>
      <c r="Y334" s="30"/>
      <c r="Z334" s="30"/>
      <c r="AA334" s="30"/>
      <c r="AB334" s="30"/>
      <c r="AC334" s="30"/>
    </row>
    <row r="335" spans="2:29">
      <c r="B335" s="47" t="s">
        <v>322</v>
      </c>
      <c r="C335" s="46"/>
      <c r="D335" s="31" t="str">
        <f ca="1">IF($A$4="平日","6:46","8:12")</f>
        <v>6:46</v>
      </c>
      <c r="E335" s="31" t="str">
        <f ca="1">IF($A$4="平日","6:46","8:12")</f>
        <v>6:46</v>
      </c>
      <c r="F335" s="31" t="str">
        <f ca="1">IF($A$4="平日","20:17","18:56")</f>
        <v>20:17</v>
      </c>
      <c r="G335" s="31" t="str">
        <f ca="1">IF($A$4="平日","20:17","18:56")</f>
        <v>20:17</v>
      </c>
      <c r="H335" s="30" t="s">
        <v>29</v>
      </c>
      <c r="I335" s="31" t="str">
        <f ca="1">IF($A$4="平日","7:01","8:27")</f>
        <v>7:01</v>
      </c>
      <c r="J335" s="30" t="s">
        <v>29</v>
      </c>
      <c r="K335" s="31" t="str">
        <f ca="1">IF($A$4="平日","20:07","18:46")</f>
        <v>20:07</v>
      </c>
      <c r="L335" s="31" t="str">
        <f ca="1">IF($A$4="平日","1050    1060    1023","1050    1588")</f>
        <v>1050    1060    1023</v>
      </c>
      <c r="M335" s="31" t="str">
        <f ca="1">IF($A$4="平日","7:14","8:40")</f>
        <v>7:14</v>
      </c>
      <c r="N335" s="31" t="str">
        <f ca="1">IF($A$4="平日","19:57","18:36")</f>
        <v>19:57</v>
      </c>
      <c r="O335" s="31" t="str">
        <f ca="1">IF($A$4="平日","8:06","5:51")</f>
        <v>8:06</v>
      </c>
      <c r="P335" s="39">
        <f ca="1">IF($A$4="平日",110.2,76.6)</f>
        <v>110.2</v>
      </c>
      <c r="Q335" s="31" t="str">
        <f ca="1">IF($A$4="平日","8:41","6:16")</f>
        <v>8:41</v>
      </c>
      <c r="S335" s="31"/>
      <c r="T335" s="31"/>
      <c r="W335" s="30" t="s">
        <v>164</v>
      </c>
      <c r="X335" s="30"/>
      <c r="Y335" s="30"/>
      <c r="Z335" s="30"/>
      <c r="AA335" s="30"/>
      <c r="AB335" s="30"/>
      <c r="AC335" s="30"/>
    </row>
    <row r="336" spans="2:29">
      <c r="B336" s="47" t="s">
        <v>533</v>
      </c>
      <c r="C336" s="26"/>
      <c r="D336" s="36">
        <v>0.29791666666666666</v>
      </c>
      <c r="E336" s="36">
        <v>0.29791666666666666</v>
      </c>
      <c r="F336" s="36">
        <v>0.39791666666666664</v>
      </c>
      <c r="G336" s="36">
        <v>0.39791666666666664</v>
      </c>
      <c r="H336" s="30" t="s">
        <v>29</v>
      </c>
      <c r="I336" s="38">
        <v>0.30833333333333335</v>
      </c>
      <c r="J336" s="30" t="s">
        <v>29</v>
      </c>
      <c r="K336" s="38">
        <v>0.39097222222222222</v>
      </c>
      <c r="L336" s="28">
        <v>1023</v>
      </c>
      <c r="M336" s="31">
        <v>0.31736111111111109</v>
      </c>
      <c r="N336" s="38">
        <v>0.3840277777777778</v>
      </c>
      <c r="O336" s="31">
        <v>7.8472222222222221E-2</v>
      </c>
      <c r="P336" s="72">
        <v>33</v>
      </c>
      <c r="Q336" s="36">
        <v>8.2638888888888887E-2</v>
      </c>
      <c r="W336" s="30" t="s">
        <v>164</v>
      </c>
      <c r="X336" s="30"/>
      <c r="Y336" s="30"/>
      <c r="Z336" s="30"/>
      <c r="AA336" s="30"/>
      <c r="AB336" s="30"/>
      <c r="AC336" s="30"/>
    </row>
    <row r="337" spans="2:29">
      <c r="B337" s="47" t="s">
        <v>325</v>
      </c>
      <c r="C337" s="26"/>
      <c r="D337" s="36">
        <v>0.44722222222222224</v>
      </c>
      <c r="E337" s="36">
        <v>0.44722222222222224</v>
      </c>
      <c r="F337" s="36">
        <v>0.54305555555555551</v>
      </c>
      <c r="G337" s="36">
        <v>0.54305555555555551</v>
      </c>
      <c r="H337" s="30" t="s">
        <v>29</v>
      </c>
      <c r="I337" s="38">
        <v>0.45416666666666666</v>
      </c>
      <c r="J337" s="30" t="s">
        <v>29</v>
      </c>
      <c r="K337" s="38">
        <v>0.53611111111111109</v>
      </c>
      <c r="L337" s="28" t="s">
        <v>534</v>
      </c>
      <c r="M337" s="31">
        <v>0.46319444444444446</v>
      </c>
      <c r="N337" s="38">
        <v>0.52916666666666667</v>
      </c>
      <c r="O337" s="31">
        <v>7.6388888888888895E-2</v>
      </c>
      <c r="P337" s="72">
        <v>30.6</v>
      </c>
      <c r="Q337" s="36">
        <v>8.1944444444444445E-2</v>
      </c>
      <c r="W337" s="30" t="s">
        <v>164</v>
      </c>
      <c r="X337" s="30"/>
      <c r="Y337" s="30"/>
      <c r="Z337" s="30"/>
      <c r="AA337" s="30"/>
      <c r="AB337" s="30"/>
      <c r="AC337" s="30"/>
    </row>
    <row r="338" spans="2:29">
      <c r="B338" s="47" t="s">
        <v>326</v>
      </c>
      <c r="C338" s="26"/>
      <c r="D338" s="36">
        <v>0.56597222222222221</v>
      </c>
      <c r="E338" s="36">
        <v>0.56597222222222221</v>
      </c>
      <c r="F338" s="36">
        <v>0.7</v>
      </c>
      <c r="G338" s="36">
        <v>0.7</v>
      </c>
      <c r="H338" s="30" t="s">
        <v>29</v>
      </c>
      <c r="I338" s="38">
        <v>0.57291666666666663</v>
      </c>
      <c r="J338" s="30" t="s">
        <v>29</v>
      </c>
      <c r="K338" s="38">
        <v>0.69305555555555554</v>
      </c>
      <c r="L338" s="28" t="s">
        <v>688</v>
      </c>
      <c r="M338" s="31">
        <v>0.58194444444444449</v>
      </c>
      <c r="N338" s="38">
        <v>0.68611111111111112</v>
      </c>
      <c r="O338" s="31">
        <v>0.10277777777777777</v>
      </c>
      <c r="P338" s="72">
        <v>45.9</v>
      </c>
      <c r="Q338" s="36">
        <v>0.10277777777777777</v>
      </c>
      <c r="W338" s="30" t="s">
        <v>164</v>
      </c>
      <c r="X338" s="30"/>
      <c r="Y338" s="30"/>
      <c r="Z338" s="30"/>
      <c r="AA338" s="30"/>
      <c r="AB338" s="30"/>
      <c r="AC338" s="30"/>
    </row>
    <row r="339" spans="2:29">
      <c r="B339" s="47" t="s">
        <v>327</v>
      </c>
      <c r="C339" s="26"/>
      <c r="D339" s="36">
        <v>0.72222222222222221</v>
      </c>
      <c r="E339" s="36">
        <v>0.72222222222222221</v>
      </c>
      <c r="F339" s="36">
        <v>0.81944444444444442</v>
      </c>
      <c r="G339" s="36">
        <v>0.81944444444444442</v>
      </c>
      <c r="H339" s="30" t="s">
        <v>29</v>
      </c>
      <c r="I339" s="38">
        <v>0.72916666666666663</v>
      </c>
      <c r="J339" s="30" t="s">
        <v>44</v>
      </c>
      <c r="K339" s="38">
        <v>0.8125</v>
      </c>
      <c r="L339" s="28" t="s">
        <v>688</v>
      </c>
      <c r="M339" s="31">
        <v>0.73819444444444449</v>
      </c>
      <c r="N339" s="38">
        <v>0.80555555555555558</v>
      </c>
      <c r="O339" s="31">
        <v>6.9444444444444448E-2</v>
      </c>
      <c r="P339" s="72">
        <v>29.3</v>
      </c>
      <c r="Q339" s="36">
        <v>7.8472222222222221E-2</v>
      </c>
      <c r="W339" s="30" t="s">
        <v>164</v>
      </c>
      <c r="X339" s="30"/>
      <c r="Y339" s="30"/>
      <c r="Z339" s="30"/>
      <c r="AA339" s="30"/>
      <c r="AB339" s="30"/>
      <c r="AC339" s="30"/>
    </row>
    <row r="340" spans="2:29">
      <c r="B340" s="47" t="s">
        <v>535</v>
      </c>
      <c r="C340" s="26"/>
      <c r="D340" s="36">
        <v>0.82986111111111116</v>
      </c>
      <c r="E340" s="36">
        <v>0.82986111111111116</v>
      </c>
      <c r="F340" s="36">
        <v>0.88749999999999996</v>
      </c>
      <c r="G340" s="36">
        <v>0.88749999999999996</v>
      </c>
      <c r="H340" s="30" t="s">
        <v>44</v>
      </c>
      <c r="I340" s="38">
        <v>0.83680555555555558</v>
      </c>
      <c r="J340" s="30" t="s">
        <v>403</v>
      </c>
      <c r="K340" s="38">
        <v>0.88055555555555554</v>
      </c>
      <c r="L340" s="28" t="s">
        <v>688</v>
      </c>
      <c r="M340" s="31">
        <v>0.88055555555555554</v>
      </c>
      <c r="N340" s="38">
        <v>0.88055555555555554</v>
      </c>
      <c r="O340" s="31">
        <v>3.888888888888889E-2</v>
      </c>
      <c r="P340" s="72">
        <v>16.399999999999999</v>
      </c>
      <c r="Q340" s="36">
        <v>3.888888888888889E-2</v>
      </c>
      <c r="W340" s="30" t="s">
        <v>164</v>
      </c>
      <c r="X340" s="30"/>
      <c r="Y340" s="30"/>
      <c r="Z340" s="30"/>
      <c r="AA340" s="30"/>
      <c r="AB340" s="30"/>
      <c r="AC340" s="30"/>
    </row>
    <row r="341" spans="2:29">
      <c r="B341" s="47" t="s">
        <v>536</v>
      </c>
      <c r="C341" s="26"/>
      <c r="D341" s="36">
        <v>0.82986111111111116</v>
      </c>
      <c r="E341" s="36">
        <v>0.82986111111111116</v>
      </c>
      <c r="F341" s="36">
        <v>0.91180555555555554</v>
      </c>
      <c r="G341" s="36">
        <v>0.91180555555555554</v>
      </c>
      <c r="H341" s="30" t="s">
        <v>44</v>
      </c>
      <c r="I341" s="38">
        <v>0.83680555555555558</v>
      </c>
      <c r="J341" s="30" t="s">
        <v>29</v>
      </c>
      <c r="K341" s="38">
        <v>0.90486111111111112</v>
      </c>
      <c r="L341" s="28" t="s">
        <v>688</v>
      </c>
      <c r="M341" s="31">
        <v>0.84583333333333333</v>
      </c>
      <c r="N341" s="38">
        <v>0.90486111111111112</v>
      </c>
      <c r="O341" s="31">
        <v>6.3194444444444442E-2</v>
      </c>
      <c r="P341" s="72">
        <v>28.4</v>
      </c>
      <c r="Q341" s="36">
        <v>6.3194444444444442E-2</v>
      </c>
      <c r="W341" s="30" t="s">
        <v>164</v>
      </c>
      <c r="X341" s="30"/>
      <c r="Y341" s="30"/>
      <c r="Z341" s="30"/>
      <c r="AA341" s="30"/>
      <c r="AB341" s="30"/>
      <c r="AC341" s="30"/>
    </row>
    <row r="342" spans="2:29">
      <c r="B342" s="47" t="s">
        <v>323</v>
      </c>
      <c r="C342" s="83"/>
      <c r="D342" s="31">
        <v>0.29791666666666666</v>
      </c>
      <c r="E342" s="31">
        <v>0.29791666666666666</v>
      </c>
      <c r="F342" s="31">
        <v>0.91180555555555554</v>
      </c>
      <c r="G342" s="31">
        <v>0.91180555555555554</v>
      </c>
      <c r="H342" s="30" t="s">
        <v>29</v>
      </c>
      <c r="I342" s="31">
        <v>0.30833333333333335</v>
      </c>
      <c r="J342" s="30" t="s">
        <v>29</v>
      </c>
      <c r="K342" s="38">
        <v>0.90486111111111112</v>
      </c>
      <c r="L342" s="30" t="s">
        <v>689</v>
      </c>
      <c r="M342" s="31">
        <v>0.31736111111111109</v>
      </c>
      <c r="N342" s="31">
        <v>0.90486111111111112</v>
      </c>
      <c r="O342" s="31">
        <v>0.39027777777777778</v>
      </c>
      <c r="P342" s="40">
        <v>167.2</v>
      </c>
      <c r="Q342" s="31">
        <v>0.42638888888888887</v>
      </c>
      <c r="W342" s="30" t="s">
        <v>164</v>
      </c>
      <c r="X342" s="30"/>
      <c r="Y342" s="30"/>
      <c r="Z342" s="30"/>
      <c r="AA342" s="30"/>
      <c r="AB342" s="30"/>
      <c r="AC342" s="30"/>
    </row>
    <row r="343" spans="2:29">
      <c r="B343" s="47" t="s">
        <v>324</v>
      </c>
      <c r="C343" s="46"/>
      <c r="D343" s="31">
        <v>0.29791666666666666</v>
      </c>
      <c r="E343" s="31">
        <v>0.29791666666666666</v>
      </c>
      <c r="F343" s="31">
        <v>0.88749999999999996</v>
      </c>
      <c r="G343" s="31">
        <v>0.88749999999999996</v>
      </c>
      <c r="H343" s="30" t="s">
        <v>29</v>
      </c>
      <c r="I343" s="31">
        <v>0.30833333333333335</v>
      </c>
      <c r="J343" s="30" t="s">
        <v>403</v>
      </c>
      <c r="K343" s="38">
        <v>0.88055555555555554</v>
      </c>
      <c r="L343" s="30" t="s">
        <v>689</v>
      </c>
      <c r="M343" s="31">
        <v>0.31736111111111109</v>
      </c>
      <c r="N343" s="31">
        <v>0.88055555555555554</v>
      </c>
      <c r="O343" s="31">
        <v>0.3659722222222222</v>
      </c>
      <c r="P343" s="40">
        <v>155.19999999999999</v>
      </c>
      <c r="Q343" s="31">
        <v>0.40208333333333335</v>
      </c>
      <c r="W343" s="30" t="s">
        <v>164</v>
      </c>
      <c r="X343" s="30"/>
      <c r="Y343" s="30"/>
      <c r="Z343" s="30"/>
      <c r="AA343" s="30"/>
      <c r="AB343" s="30"/>
      <c r="AC343" s="30"/>
    </row>
    <row r="344" spans="2:29">
      <c r="B344" s="47" t="s">
        <v>330</v>
      </c>
      <c r="C344" s="47"/>
      <c r="D344" s="36">
        <v>0.27569444444444446</v>
      </c>
      <c r="E344" s="36">
        <v>0.27569444444444446</v>
      </c>
      <c r="F344" s="36">
        <v>0.34444444444444444</v>
      </c>
      <c r="G344" s="36">
        <v>0.34444444444444444</v>
      </c>
      <c r="H344" s="30" t="s">
        <v>403</v>
      </c>
      <c r="I344" s="38">
        <v>0.28611111111111109</v>
      </c>
      <c r="J344" s="30" t="s">
        <v>29</v>
      </c>
      <c r="K344" s="38">
        <v>0.33750000000000002</v>
      </c>
      <c r="L344" s="28" t="s">
        <v>688</v>
      </c>
      <c r="M344" s="31">
        <v>0.28611111111111109</v>
      </c>
      <c r="N344" s="38">
        <v>0.33055555555555555</v>
      </c>
      <c r="O344" s="31">
        <v>5.1388888888888887E-2</v>
      </c>
      <c r="P344" s="39">
        <v>18.899999999999999</v>
      </c>
      <c r="Q344" s="36">
        <v>5.1388888888888887E-2</v>
      </c>
      <c r="W344" s="30" t="s">
        <v>164</v>
      </c>
      <c r="X344" s="30"/>
      <c r="Y344" s="30"/>
      <c r="Z344" s="30"/>
      <c r="AA344" s="30"/>
      <c r="AB344" s="30"/>
      <c r="AC344" s="30"/>
    </row>
    <row r="345" spans="2:29">
      <c r="B345" s="47" t="s">
        <v>331</v>
      </c>
      <c r="C345" s="47"/>
      <c r="D345" s="36">
        <v>0.24930555555555556</v>
      </c>
      <c r="E345" s="36">
        <v>0.24930555555555556</v>
      </c>
      <c r="F345" s="36">
        <v>0.34444444444444444</v>
      </c>
      <c r="G345" s="36">
        <v>0.34444444444444444</v>
      </c>
      <c r="H345" s="30" t="s">
        <v>29</v>
      </c>
      <c r="I345" s="38">
        <v>0.25972222222222224</v>
      </c>
      <c r="J345" s="30" t="s">
        <v>29</v>
      </c>
      <c r="K345" s="38">
        <v>0.33750000000000002</v>
      </c>
      <c r="L345" s="28" t="s">
        <v>688</v>
      </c>
      <c r="M345" s="31">
        <v>0.25972222222222224</v>
      </c>
      <c r="N345" s="38">
        <v>0.33055555555555555</v>
      </c>
      <c r="O345" s="31">
        <v>7.7777777777777779E-2</v>
      </c>
      <c r="P345" s="39">
        <v>30.9</v>
      </c>
      <c r="Q345" s="36">
        <v>7.7777777777777779E-2</v>
      </c>
      <c r="W345" s="30" t="s">
        <v>164</v>
      </c>
      <c r="X345" s="30"/>
      <c r="Y345" s="30"/>
      <c r="Z345" s="30"/>
      <c r="AA345" s="30"/>
      <c r="AB345" s="30"/>
      <c r="AC345" s="30"/>
    </row>
    <row r="346" spans="2:29">
      <c r="B346" s="47" t="s">
        <v>565</v>
      </c>
      <c r="D346" s="36">
        <v>0.35555555555555557</v>
      </c>
      <c r="E346" s="36">
        <v>0.35555555555555557</v>
      </c>
      <c r="F346" s="36">
        <v>0.46319444444444446</v>
      </c>
      <c r="G346" s="36">
        <v>0.46319444444444446</v>
      </c>
      <c r="H346" s="30" t="s">
        <v>29</v>
      </c>
      <c r="I346" s="37">
        <v>0.36249999999999999</v>
      </c>
      <c r="J346" s="30" t="s">
        <v>29</v>
      </c>
      <c r="K346" s="38">
        <v>0.45624999999999999</v>
      </c>
      <c r="L346" s="28" t="s">
        <v>688</v>
      </c>
      <c r="M346" s="36">
        <v>0.37152777777777779</v>
      </c>
      <c r="N346" s="37">
        <v>0.44930555555555557</v>
      </c>
      <c r="O346" s="37">
        <v>8.1250000000000003E-2</v>
      </c>
      <c r="P346" s="39">
        <v>35.299999999999997</v>
      </c>
      <c r="Q346" s="36">
        <v>8.8888888888888892E-2</v>
      </c>
      <c r="W346" s="30" t="s">
        <v>164</v>
      </c>
      <c r="X346" s="30"/>
      <c r="Y346" s="30"/>
      <c r="Z346" s="30"/>
      <c r="AA346" s="30"/>
      <c r="AB346" s="30"/>
      <c r="AC346" s="30"/>
    </row>
    <row r="347" spans="2:29">
      <c r="B347" s="47" t="s">
        <v>328</v>
      </c>
      <c r="C347" s="83"/>
      <c r="D347" s="36">
        <v>0.24930555555555556</v>
      </c>
      <c r="E347" s="36">
        <v>0.24930555555555556</v>
      </c>
      <c r="F347" s="36">
        <v>0.46319444444444446</v>
      </c>
      <c r="G347" s="36">
        <v>0.46319444444444446</v>
      </c>
      <c r="H347" s="30" t="s">
        <v>29</v>
      </c>
      <c r="I347" s="38">
        <v>0.25972222222222224</v>
      </c>
      <c r="J347" s="30" t="s">
        <v>29</v>
      </c>
      <c r="K347" s="38">
        <v>0.45624999999999999</v>
      </c>
      <c r="L347" s="28" t="s">
        <v>688</v>
      </c>
      <c r="M347" s="31">
        <v>0.25972222222222224</v>
      </c>
      <c r="N347" s="36">
        <v>0.45624999999999999</v>
      </c>
      <c r="O347" s="31">
        <v>0.15416666666666667</v>
      </c>
      <c r="P347" s="39">
        <v>63.7</v>
      </c>
      <c r="Q347" s="31">
        <v>0.17916666666666667</v>
      </c>
      <c r="W347" s="30" t="s">
        <v>164</v>
      </c>
      <c r="X347" s="30"/>
      <c r="Y347" s="30"/>
      <c r="Z347" s="30"/>
      <c r="AA347" s="30"/>
      <c r="AB347" s="30"/>
      <c r="AC347" s="30"/>
    </row>
    <row r="348" spans="2:29">
      <c r="B348" s="47" t="s">
        <v>329</v>
      </c>
      <c r="C348" s="46"/>
      <c r="D348" s="36">
        <v>0.27569444444444446</v>
      </c>
      <c r="E348" s="36">
        <v>0.27569444444444446</v>
      </c>
      <c r="F348" s="36">
        <v>0.46319444444444446</v>
      </c>
      <c r="G348" s="36">
        <v>0.46319444444444446</v>
      </c>
      <c r="H348" s="30" t="s">
        <v>403</v>
      </c>
      <c r="I348" s="38">
        <v>0.28611111111111109</v>
      </c>
      <c r="J348" s="30" t="s">
        <v>29</v>
      </c>
      <c r="K348" s="38">
        <v>0.45624999999999999</v>
      </c>
      <c r="L348" s="28" t="s">
        <v>688</v>
      </c>
      <c r="M348" s="31">
        <v>0.28611111111111109</v>
      </c>
      <c r="N348" s="36">
        <v>0.44930555555555557</v>
      </c>
      <c r="O348" s="31">
        <v>0.12777777777777777</v>
      </c>
      <c r="P348" s="39">
        <v>51.7</v>
      </c>
      <c r="Q348" s="31">
        <v>0.15277777777777779</v>
      </c>
      <c r="R348" s="40">
        <v>155.19999999999999</v>
      </c>
      <c r="W348" s="30" t="s">
        <v>164</v>
      </c>
      <c r="X348" s="30"/>
      <c r="Y348" s="30"/>
      <c r="Z348" s="30"/>
      <c r="AA348" s="30"/>
      <c r="AB348" s="30"/>
      <c r="AC348" s="30"/>
    </row>
    <row r="349" spans="2:29">
      <c r="B349" s="47"/>
      <c r="C349" s="26"/>
      <c r="H349" s="30"/>
      <c r="I349" s="38"/>
      <c r="J349" s="30"/>
      <c r="K349" s="38"/>
      <c r="L349" s="28"/>
      <c r="M349" s="31"/>
      <c r="N349" s="38"/>
      <c r="O349" s="31"/>
      <c r="P349" s="72"/>
      <c r="Q349" s="36"/>
      <c r="W349" s="30"/>
      <c r="X349" s="30"/>
      <c r="Y349" s="30"/>
      <c r="Z349" s="30"/>
      <c r="AA349" s="30"/>
      <c r="AB349" s="30"/>
      <c r="AC349" s="30"/>
    </row>
    <row r="350" spans="2:29">
      <c r="B350" s="44" t="s">
        <v>422</v>
      </c>
      <c r="C350" s="46"/>
      <c r="D350" s="36">
        <v>0.37013888888888891</v>
      </c>
      <c r="E350" s="36">
        <v>0.37013888888888891</v>
      </c>
      <c r="F350" s="36">
        <v>0.73541666666666672</v>
      </c>
      <c r="G350" s="36">
        <v>0.73541666666666672</v>
      </c>
      <c r="H350" s="30" t="s">
        <v>29</v>
      </c>
      <c r="I350" s="38">
        <v>0.38055555555555554</v>
      </c>
      <c r="J350" s="30" t="s">
        <v>29</v>
      </c>
      <c r="K350" s="31">
        <v>0.72847222222222219</v>
      </c>
      <c r="L350" s="28" t="s">
        <v>145</v>
      </c>
      <c r="M350" s="31">
        <v>0.39513888888888887</v>
      </c>
      <c r="N350" s="38">
        <v>0.71597222222222223</v>
      </c>
      <c r="O350" s="31">
        <v>0.19583333333333333</v>
      </c>
      <c r="P350" s="39">
        <v>68.8</v>
      </c>
      <c r="Q350" s="36">
        <v>0.21319444444444444</v>
      </c>
      <c r="W350" s="30" t="s">
        <v>164</v>
      </c>
      <c r="X350" s="30"/>
      <c r="Y350" s="30"/>
      <c r="Z350" s="30"/>
      <c r="AA350" s="30"/>
      <c r="AB350" s="30"/>
      <c r="AC350" s="30"/>
    </row>
    <row r="351" spans="2:29">
      <c r="B351" s="44" t="s">
        <v>448</v>
      </c>
      <c r="C351" s="26"/>
      <c r="D351" s="36">
        <v>0.27916666666666667</v>
      </c>
      <c r="E351" s="36">
        <v>0.27916666666666667</v>
      </c>
      <c r="F351" s="36">
        <v>0.38958333333333334</v>
      </c>
      <c r="G351" s="36">
        <v>0.38958333333333334</v>
      </c>
      <c r="H351" s="30" t="s">
        <v>29</v>
      </c>
      <c r="I351" s="38">
        <v>0.28958333333333336</v>
      </c>
      <c r="J351" s="30" t="s">
        <v>29</v>
      </c>
      <c r="K351" s="31">
        <v>0.38263888888888886</v>
      </c>
      <c r="L351" s="28" t="s">
        <v>143</v>
      </c>
      <c r="M351" s="31">
        <v>0.30416666666666664</v>
      </c>
      <c r="N351" s="38">
        <v>0.38055555555555554</v>
      </c>
      <c r="O351" s="31">
        <v>9.3055555555555558E-2</v>
      </c>
      <c r="P351" s="39">
        <v>30</v>
      </c>
      <c r="Q351" s="36">
        <v>9.3055555555555558E-2</v>
      </c>
      <c r="W351" s="30" t="s">
        <v>164</v>
      </c>
      <c r="X351" s="30"/>
      <c r="Y351" s="30"/>
      <c r="Z351" s="30"/>
      <c r="AA351" s="30"/>
      <c r="AB351" s="30"/>
      <c r="AC351" s="30"/>
    </row>
    <row r="352" spans="2:29">
      <c r="B352" s="44" t="s">
        <v>449</v>
      </c>
      <c r="C352" s="26"/>
      <c r="D352" s="36">
        <v>0.39930555555555558</v>
      </c>
      <c r="E352" s="36">
        <v>0.39930555555555558</v>
      </c>
      <c r="F352" s="36">
        <v>0.47291666666666665</v>
      </c>
      <c r="G352" s="36">
        <v>0.47291666666666665</v>
      </c>
      <c r="H352" s="30" t="s">
        <v>29</v>
      </c>
      <c r="I352" s="38">
        <v>0.40625</v>
      </c>
      <c r="J352" s="30" t="s">
        <v>29</v>
      </c>
      <c r="K352" s="31">
        <v>0.46597222222222223</v>
      </c>
      <c r="L352" s="28" t="s">
        <v>443</v>
      </c>
      <c r="M352" s="31">
        <v>0.41041666666666665</v>
      </c>
      <c r="N352" s="38">
        <v>0.46388888888888891</v>
      </c>
      <c r="O352" s="31">
        <v>5.9722222222222225E-2</v>
      </c>
      <c r="P352" s="39">
        <v>18.600000000000001</v>
      </c>
      <c r="Q352" s="36">
        <v>5.9722222222222225E-2</v>
      </c>
      <c r="W352" s="30" t="s">
        <v>164</v>
      </c>
      <c r="X352" s="30"/>
      <c r="Y352" s="30"/>
      <c r="Z352" s="30"/>
      <c r="AA352" s="30"/>
      <c r="AB352" s="30"/>
      <c r="AC352" s="30"/>
    </row>
    <row r="353" spans="2:29">
      <c r="B353" s="44" t="s">
        <v>450</v>
      </c>
      <c r="C353" s="26"/>
      <c r="D353" s="36">
        <v>0.53819444444444442</v>
      </c>
      <c r="E353" s="36">
        <v>0.53819444444444442</v>
      </c>
      <c r="F353" s="36">
        <v>0.6118055555555556</v>
      </c>
      <c r="G353" s="36">
        <v>0.6118055555555556</v>
      </c>
      <c r="H353" s="30" t="s">
        <v>29</v>
      </c>
      <c r="I353" s="38">
        <v>0.54513888888888884</v>
      </c>
      <c r="J353" s="30" t="s">
        <v>29</v>
      </c>
      <c r="K353" s="31">
        <v>0.60486111111111107</v>
      </c>
      <c r="L353" s="28" t="s">
        <v>143</v>
      </c>
      <c r="M353" s="31">
        <v>0.5493055555555556</v>
      </c>
      <c r="N353" s="38">
        <v>0.60277777777777775</v>
      </c>
      <c r="O353" s="31">
        <v>5.9722222222222225E-2</v>
      </c>
      <c r="P353" s="39">
        <v>18.600000000000001</v>
      </c>
      <c r="Q353" s="36">
        <v>5.9722222222222225E-2</v>
      </c>
      <c r="W353" s="30" t="s">
        <v>164</v>
      </c>
      <c r="X353" s="30"/>
      <c r="Y353" s="30"/>
      <c r="Z353" s="30"/>
      <c r="AA353" s="30"/>
      <c r="AB353" s="30"/>
      <c r="AC353" s="30"/>
    </row>
    <row r="354" spans="2:29">
      <c r="B354" s="44" t="s">
        <v>451</v>
      </c>
      <c r="C354" s="26"/>
      <c r="D354" s="36">
        <v>0.67152777777777772</v>
      </c>
      <c r="E354" s="36">
        <v>0.67152777777777772</v>
      </c>
      <c r="F354" s="36">
        <v>0.81597222222222221</v>
      </c>
      <c r="G354" s="36">
        <v>0.81597222222222221</v>
      </c>
      <c r="H354" s="30" t="s">
        <v>29</v>
      </c>
      <c r="I354" s="38">
        <v>0.67847222222222225</v>
      </c>
      <c r="J354" s="30" t="s">
        <v>29</v>
      </c>
      <c r="K354" s="31">
        <v>0.80902777777777779</v>
      </c>
      <c r="L354" s="28" t="s">
        <v>529</v>
      </c>
      <c r="M354" s="31">
        <v>0.68263888888888891</v>
      </c>
      <c r="N354" s="38">
        <v>0.80208333333333337</v>
      </c>
      <c r="O354" s="31">
        <v>0.13055555555555556</v>
      </c>
      <c r="P354" s="39">
        <v>39.799999999999997</v>
      </c>
      <c r="Q354" s="36">
        <v>0.13055555555555556</v>
      </c>
      <c r="W354" s="30" t="s">
        <v>164</v>
      </c>
      <c r="X354" s="30"/>
      <c r="Y354" s="30"/>
      <c r="Z354" s="30"/>
      <c r="AA354" s="30"/>
      <c r="AB354" s="30"/>
      <c r="AC354" s="30"/>
    </row>
    <row r="355" spans="2:29">
      <c r="B355" s="44" t="s">
        <v>332</v>
      </c>
      <c r="C355" s="46"/>
      <c r="D355" s="31">
        <v>0.27916666666666667</v>
      </c>
      <c r="E355" s="31">
        <v>0.27916666666666667</v>
      </c>
      <c r="F355" s="31">
        <v>0.81597222222222221</v>
      </c>
      <c r="G355" s="31">
        <v>0.81597222222222221</v>
      </c>
      <c r="H355" s="30" t="s">
        <v>29</v>
      </c>
      <c r="I355" s="31">
        <v>0.28958333333333336</v>
      </c>
      <c r="J355" s="30" t="s">
        <v>29</v>
      </c>
      <c r="K355" s="31">
        <v>0.80902777777777779</v>
      </c>
      <c r="L355" s="31" t="s">
        <v>566</v>
      </c>
      <c r="M355" s="31">
        <v>0.30416666666666664</v>
      </c>
      <c r="N355" s="31">
        <v>0.80208333333333337</v>
      </c>
      <c r="O355" s="31">
        <v>0.34375</v>
      </c>
      <c r="P355" s="39">
        <v>107</v>
      </c>
      <c r="Q355" s="31">
        <v>0.36041666666666666</v>
      </c>
      <c r="R355" s="31"/>
      <c r="S355" s="28"/>
      <c r="T355" s="28"/>
      <c r="W355" s="30" t="s">
        <v>164</v>
      </c>
      <c r="X355" s="30"/>
      <c r="Y355" s="30"/>
      <c r="Z355" s="30"/>
      <c r="AA355" s="30"/>
      <c r="AB355" s="30"/>
      <c r="AC355" s="30"/>
    </row>
    <row r="356" spans="2:29">
      <c r="B356" s="44" t="s">
        <v>567</v>
      </c>
      <c r="C356" s="45"/>
      <c r="D356" s="36">
        <v>0.30069444444444443</v>
      </c>
      <c r="E356" s="36">
        <v>0.30069444444444443</v>
      </c>
      <c r="F356" s="36">
        <v>0.40625</v>
      </c>
      <c r="G356" s="36">
        <v>0.40625</v>
      </c>
      <c r="H356" s="30" t="s">
        <v>29</v>
      </c>
      <c r="I356" s="38">
        <v>0.31111111111111112</v>
      </c>
      <c r="J356" s="30" t="s">
        <v>44</v>
      </c>
      <c r="K356" s="38">
        <v>0.39930555555555558</v>
      </c>
      <c r="L356" s="28" t="s">
        <v>302</v>
      </c>
      <c r="M356" s="31">
        <v>0.32013888888888886</v>
      </c>
      <c r="N356" s="38">
        <v>0.3923611111111111</v>
      </c>
      <c r="O356" s="31">
        <v>8.1250000000000003E-2</v>
      </c>
      <c r="P356" s="39">
        <v>27.8</v>
      </c>
      <c r="Q356" s="36">
        <v>8.3333333333333329E-2</v>
      </c>
      <c r="R356" s="31"/>
      <c r="S356" s="28"/>
      <c r="T356" s="28"/>
      <c r="W356" s="30" t="s">
        <v>164</v>
      </c>
      <c r="X356" s="30"/>
      <c r="Y356" s="30"/>
      <c r="Z356" s="30"/>
      <c r="AA356" s="30"/>
      <c r="AB356" s="30"/>
      <c r="AC356" s="30"/>
    </row>
    <row r="357" spans="2:29">
      <c r="B357" s="44" t="s">
        <v>628</v>
      </c>
      <c r="C357" s="45"/>
      <c r="D357" s="31">
        <v>0.39861111111111114</v>
      </c>
      <c r="E357" s="31">
        <v>0.39861111111111114</v>
      </c>
      <c r="F357" s="31">
        <v>0.51388888888888884</v>
      </c>
      <c r="G357" s="31">
        <v>0.51388888888888884</v>
      </c>
      <c r="H357" s="30" t="s">
        <v>44</v>
      </c>
      <c r="I357" s="31">
        <v>0.40555555555555556</v>
      </c>
      <c r="J357" s="30" t="s">
        <v>29</v>
      </c>
      <c r="K357" s="31">
        <v>0.50694444444444442</v>
      </c>
      <c r="L357" s="28" t="s">
        <v>302</v>
      </c>
      <c r="M357" s="31">
        <v>0.41458333333333336</v>
      </c>
      <c r="N357" s="31">
        <v>0.50694444444444442</v>
      </c>
      <c r="O357" s="31">
        <v>8.7499999999999994E-2</v>
      </c>
      <c r="P357" s="39">
        <v>35.4</v>
      </c>
      <c r="Q357" s="31">
        <v>9.6527777777777782E-2</v>
      </c>
      <c r="R357" s="31"/>
      <c r="S357" s="28"/>
      <c r="T357" s="28"/>
      <c r="W357" s="30" t="s">
        <v>164</v>
      </c>
      <c r="X357" s="30"/>
      <c r="Y357" s="30"/>
      <c r="Z357" s="30"/>
      <c r="AA357" s="30"/>
      <c r="AB357" s="30"/>
      <c r="AC357" s="30"/>
    </row>
    <row r="358" spans="2:29">
      <c r="B358" s="44" t="s">
        <v>568</v>
      </c>
      <c r="C358" s="45"/>
      <c r="D358" s="31">
        <v>0.66041666666666665</v>
      </c>
      <c r="E358" s="31">
        <v>0.66041666666666665</v>
      </c>
      <c r="F358" s="31">
        <v>0.75486111111111109</v>
      </c>
      <c r="G358" s="31">
        <v>0.75486111111111109</v>
      </c>
      <c r="H358" s="30" t="s">
        <v>29</v>
      </c>
      <c r="I358" s="31">
        <v>0.66736111111111107</v>
      </c>
      <c r="J358" s="30" t="s">
        <v>44</v>
      </c>
      <c r="K358" s="31">
        <v>0.74791666666666667</v>
      </c>
      <c r="L358" s="28" t="s">
        <v>302</v>
      </c>
      <c r="M358" s="31">
        <v>0.67638888888888893</v>
      </c>
      <c r="N358" s="31">
        <v>0.74097222222222225</v>
      </c>
      <c r="O358" s="31">
        <v>7.013888888888889E-2</v>
      </c>
      <c r="P358" s="39">
        <v>27.8</v>
      </c>
      <c r="Q358" s="31">
        <v>7.5694444444444439E-2</v>
      </c>
      <c r="R358" s="31"/>
      <c r="S358" s="28"/>
      <c r="T358" s="28"/>
      <c r="W358" s="30" t="s">
        <v>164</v>
      </c>
      <c r="X358" s="30"/>
      <c r="Y358" s="30"/>
      <c r="Z358" s="30"/>
      <c r="AA358" s="30"/>
      <c r="AB358" s="30"/>
      <c r="AC358" s="30"/>
    </row>
    <row r="359" spans="2:29">
      <c r="B359" s="44" t="s">
        <v>569</v>
      </c>
      <c r="C359" s="45"/>
      <c r="D359" s="31">
        <v>0.75694444444444442</v>
      </c>
      <c r="E359" s="31">
        <v>0.75694444444444442</v>
      </c>
      <c r="F359" s="31">
        <v>0.85833333333333328</v>
      </c>
      <c r="G359" s="31">
        <v>0.85833333333333328</v>
      </c>
      <c r="H359" s="30" t="s">
        <v>44</v>
      </c>
      <c r="I359" s="31">
        <v>0.76388888888888884</v>
      </c>
      <c r="J359" s="30" t="s">
        <v>29</v>
      </c>
      <c r="K359" s="31">
        <v>0.85138888888888886</v>
      </c>
      <c r="L359" s="28" t="s">
        <v>302</v>
      </c>
      <c r="M359" s="31">
        <v>0.7729166666666667</v>
      </c>
      <c r="N359" s="31">
        <v>0.84444444444444444</v>
      </c>
      <c r="O359" s="31">
        <v>7.4305555555555555E-2</v>
      </c>
      <c r="P359" s="39">
        <v>28.1</v>
      </c>
      <c r="Q359" s="31">
        <v>8.2638888888888887E-2</v>
      </c>
      <c r="R359" s="31"/>
      <c r="S359" s="28"/>
      <c r="T359" s="28"/>
      <c r="W359" s="30" t="s">
        <v>164</v>
      </c>
      <c r="X359" s="30"/>
      <c r="Y359" s="30"/>
      <c r="Z359" s="30"/>
      <c r="AA359" s="30"/>
      <c r="AB359" s="30"/>
      <c r="AC359" s="30"/>
    </row>
    <row r="360" spans="2:29">
      <c r="B360" s="44" t="s">
        <v>333</v>
      </c>
      <c r="C360" s="46"/>
      <c r="D360" s="31">
        <v>0.30069444444444443</v>
      </c>
      <c r="E360" s="31">
        <v>0.30069444444444443</v>
      </c>
      <c r="F360" s="31">
        <v>0.85833333333333328</v>
      </c>
      <c r="G360" s="31">
        <v>0.85833333333333328</v>
      </c>
      <c r="H360" s="30" t="s">
        <v>29</v>
      </c>
      <c r="I360" s="31">
        <v>0.31111111111111112</v>
      </c>
      <c r="J360" s="30" t="s">
        <v>29</v>
      </c>
      <c r="K360" s="31">
        <v>0.85138888888888886</v>
      </c>
      <c r="L360" s="28" t="s">
        <v>302</v>
      </c>
      <c r="M360" s="31">
        <v>0.32013888888888886</v>
      </c>
      <c r="N360" s="31">
        <v>0.84444444444444444</v>
      </c>
      <c r="O360" s="31">
        <v>0.30972222222222223</v>
      </c>
      <c r="P360" s="39">
        <v>119</v>
      </c>
      <c r="Q360" s="31">
        <v>0.3527777777777778</v>
      </c>
      <c r="W360" s="30" t="s">
        <v>164</v>
      </c>
      <c r="X360" s="30"/>
      <c r="Y360" s="30"/>
      <c r="Z360" s="30"/>
      <c r="AA360" s="30"/>
      <c r="AB360" s="30"/>
      <c r="AC360" s="30"/>
    </row>
    <row r="361" spans="2:29">
      <c r="B361" s="44" t="s">
        <v>570</v>
      </c>
      <c r="C361" s="45"/>
      <c r="D361" s="31">
        <v>0.30277777777777776</v>
      </c>
      <c r="E361" s="31">
        <v>0.30277777777777776</v>
      </c>
      <c r="F361" s="31">
        <v>0.36458333333333331</v>
      </c>
      <c r="G361" s="31">
        <v>0.36458333333333331</v>
      </c>
      <c r="H361" s="30" t="s">
        <v>29</v>
      </c>
      <c r="I361" s="31">
        <v>0.31319444444444444</v>
      </c>
      <c r="J361" s="30" t="s">
        <v>29</v>
      </c>
      <c r="K361" s="31">
        <v>0.3576388888888889</v>
      </c>
      <c r="L361" s="28" t="s">
        <v>571</v>
      </c>
      <c r="M361" s="31">
        <v>0.32222222222222224</v>
      </c>
      <c r="N361" s="31">
        <v>0.3576388888888889</v>
      </c>
      <c r="O361" s="31">
        <v>4.4444444444444446E-2</v>
      </c>
      <c r="P361" s="39">
        <v>19.2</v>
      </c>
      <c r="Q361" s="31">
        <v>6.1805555555555558E-2</v>
      </c>
      <c r="W361" s="30" t="s">
        <v>164</v>
      </c>
      <c r="X361" s="30"/>
      <c r="Y361" s="30"/>
      <c r="Z361" s="30"/>
      <c r="AA361" s="30"/>
      <c r="AB361" s="30"/>
      <c r="AC361" s="30"/>
    </row>
    <row r="362" spans="2:29">
      <c r="B362" s="44" t="s">
        <v>572</v>
      </c>
      <c r="C362" s="45"/>
      <c r="D362" s="31">
        <v>0.62847222222222221</v>
      </c>
      <c r="E362" s="31">
        <v>0.62847222222222221</v>
      </c>
      <c r="F362" s="31">
        <v>0.75277777777777777</v>
      </c>
      <c r="G362" s="31">
        <v>0.75277777777777777</v>
      </c>
      <c r="H362" s="30" t="s">
        <v>29</v>
      </c>
      <c r="I362" s="31">
        <v>0.63541666666666663</v>
      </c>
      <c r="J362" s="30" t="s">
        <v>29</v>
      </c>
      <c r="K362" s="31">
        <v>0.74583333333333335</v>
      </c>
      <c r="L362" s="28" t="s">
        <v>148</v>
      </c>
      <c r="M362" s="31">
        <v>0.64444444444444449</v>
      </c>
      <c r="N362" s="31">
        <v>0.73888888888888893</v>
      </c>
      <c r="O362" s="31">
        <v>0.10555555555555556</v>
      </c>
      <c r="P362" s="39">
        <v>41.8</v>
      </c>
      <c r="Q362" s="31">
        <v>0.11041666666666666</v>
      </c>
      <c r="W362" s="30" t="s">
        <v>164</v>
      </c>
      <c r="X362" s="30"/>
      <c r="Y362" s="30"/>
      <c r="Z362" s="30"/>
      <c r="AA362" s="30"/>
      <c r="AB362" s="30"/>
      <c r="AC362" s="30"/>
    </row>
    <row r="363" spans="2:29">
      <c r="B363" s="44" t="s">
        <v>573</v>
      </c>
      <c r="C363" s="45"/>
      <c r="D363" s="31">
        <v>0.77569444444444446</v>
      </c>
      <c r="E363" s="31">
        <v>0.77569444444444446</v>
      </c>
      <c r="F363" s="31">
        <v>0.88749999999999996</v>
      </c>
      <c r="G363" s="31">
        <v>0.88749999999999996</v>
      </c>
      <c r="H363" s="30" t="s">
        <v>29</v>
      </c>
      <c r="I363" s="31">
        <v>0.78263888888888888</v>
      </c>
      <c r="J363" s="30" t="s">
        <v>29</v>
      </c>
      <c r="K363" s="31">
        <v>0.88055555555555554</v>
      </c>
      <c r="L363" s="28" t="s">
        <v>148</v>
      </c>
      <c r="M363" s="31">
        <v>0.79166666666666663</v>
      </c>
      <c r="N363" s="31">
        <v>0.87361111111111112</v>
      </c>
      <c r="O363" s="31">
        <v>9.4444444444444442E-2</v>
      </c>
      <c r="P363" s="39">
        <v>42.8</v>
      </c>
      <c r="Q363" s="31">
        <v>9.7916666666666666E-2</v>
      </c>
      <c r="W363" s="30" t="s">
        <v>164</v>
      </c>
      <c r="X363" s="30"/>
      <c r="Y363" s="30"/>
      <c r="Z363" s="30"/>
      <c r="AA363" s="30"/>
      <c r="AB363" s="30"/>
      <c r="AC363" s="30"/>
    </row>
    <row r="364" spans="2:29">
      <c r="B364" s="44" t="s">
        <v>334</v>
      </c>
      <c r="C364" s="46"/>
      <c r="D364" s="36">
        <v>0.30277777777777776</v>
      </c>
      <c r="E364" s="36">
        <v>0.30277777777777776</v>
      </c>
      <c r="F364" s="36">
        <v>0.88749999999999996</v>
      </c>
      <c r="G364" s="36">
        <v>0.88749999999999996</v>
      </c>
      <c r="H364" s="30" t="s">
        <v>29</v>
      </c>
      <c r="I364" s="38">
        <v>0.31319444444444444</v>
      </c>
      <c r="J364" s="30" t="s">
        <v>29</v>
      </c>
      <c r="K364" s="31">
        <v>0.88055555555555554</v>
      </c>
      <c r="L364" s="28" t="s">
        <v>692</v>
      </c>
      <c r="M364" s="31">
        <v>0.32222222222222224</v>
      </c>
      <c r="N364" s="38">
        <v>0.87361111111111112</v>
      </c>
      <c r="O364" s="31">
        <v>0.24444444444444444</v>
      </c>
      <c r="P364" s="39">
        <v>103.8</v>
      </c>
      <c r="Q364" s="36">
        <v>0.27013888888888887</v>
      </c>
      <c r="W364" s="30" t="s">
        <v>164</v>
      </c>
      <c r="X364" s="30"/>
      <c r="Y364" s="30"/>
      <c r="Z364" s="30"/>
      <c r="AA364" s="30"/>
      <c r="AB364" s="30"/>
      <c r="AC364" s="30"/>
    </row>
    <row r="365" spans="2:29">
      <c r="B365" s="44" t="s">
        <v>335</v>
      </c>
      <c r="C365" s="46"/>
      <c r="D365" s="31">
        <v>0.29583333333333334</v>
      </c>
      <c r="E365" s="31">
        <v>0.29583333333333334</v>
      </c>
      <c r="F365" s="31">
        <v>0.3576388888888889</v>
      </c>
      <c r="G365" s="31">
        <v>0.3576388888888889</v>
      </c>
      <c r="H365" s="30" t="s">
        <v>29</v>
      </c>
      <c r="I365" s="31">
        <v>0.30625000000000002</v>
      </c>
      <c r="J365" s="30" t="s">
        <v>29</v>
      </c>
      <c r="K365" s="31">
        <v>0.35069444444444442</v>
      </c>
      <c r="L365" s="28" t="s">
        <v>574</v>
      </c>
      <c r="M365" s="31">
        <v>0.31527777777777777</v>
      </c>
      <c r="N365" s="31">
        <v>0.35069444444444442</v>
      </c>
      <c r="O365" s="31">
        <v>4.4444444444444446E-2</v>
      </c>
      <c r="P365" s="39">
        <v>19.2</v>
      </c>
      <c r="Q365" s="31">
        <v>6.1805555555555558E-2</v>
      </c>
      <c r="W365" s="30" t="s">
        <v>164</v>
      </c>
      <c r="X365" s="30"/>
      <c r="Y365" s="30"/>
      <c r="Z365" s="30"/>
      <c r="AA365" s="30"/>
      <c r="AB365" s="30"/>
      <c r="AC365" s="30"/>
    </row>
    <row r="366" spans="2:29">
      <c r="B366" s="44" t="s">
        <v>336</v>
      </c>
      <c r="C366" s="46"/>
      <c r="D366" s="31">
        <v>0.2986111111111111</v>
      </c>
      <c r="E366" s="31">
        <v>0.2986111111111111</v>
      </c>
      <c r="F366" s="31">
        <v>0.36041666666666666</v>
      </c>
      <c r="G366" s="31">
        <v>0.36041666666666666</v>
      </c>
      <c r="H366" s="30" t="s">
        <v>29</v>
      </c>
      <c r="I366" s="31">
        <v>0.30902777777777779</v>
      </c>
      <c r="J366" s="30" t="s">
        <v>29</v>
      </c>
      <c r="K366" s="31">
        <v>0.35347222222222224</v>
      </c>
      <c r="L366" s="28" t="s">
        <v>575</v>
      </c>
      <c r="M366" s="31">
        <v>0.31805555555555554</v>
      </c>
      <c r="N366" s="31">
        <v>0.35347222222222224</v>
      </c>
      <c r="O366" s="31">
        <v>4.4444444444444446E-2</v>
      </c>
      <c r="P366" s="39">
        <v>19.2</v>
      </c>
      <c r="Q366" s="31">
        <v>6.1805555555555558E-2</v>
      </c>
      <c r="W366" s="30" t="s">
        <v>164</v>
      </c>
      <c r="X366" s="30"/>
      <c r="Y366" s="30"/>
      <c r="Z366" s="30"/>
      <c r="AA366" s="30"/>
      <c r="AB366" s="30"/>
      <c r="AC366" s="30"/>
    </row>
    <row r="367" spans="2:29">
      <c r="B367" s="44"/>
      <c r="C367" s="45"/>
      <c r="D367" s="31"/>
      <c r="E367" s="31"/>
      <c r="F367" s="31"/>
      <c r="G367" s="31"/>
      <c r="H367" s="30"/>
      <c r="I367" s="31"/>
      <c r="J367" s="30"/>
      <c r="K367" s="31"/>
      <c r="L367" s="28"/>
      <c r="M367" s="31"/>
      <c r="N367" s="31"/>
      <c r="O367" s="31"/>
      <c r="P367" s="39"/>
      <c r="Q367" s="31"/>
      <c r="W367" s="30"/>
      <c r="X367" s="30"/>
      <c r="Y367" s="30"/>
      <c r="Z367" s="30"/>
      <c r="AA367" s="30"/>
      <c r="AB367" s="30"/>
      <c r="AC367" s="30"/>
    </row>
    <row r="368" spans="2:29">
      <c r="B368" s="44" t="s">
        <v>681</v>
      </c>
      <c r="C368" s="45"/>
      <c r="D368" s="31">
        <v>0.38541666666666669</v>
      </c>
      <c r="E368" s="31">
        <v>0.38541666666666669</v>
      </c>
      <c r="F368" s="31">
        <v>0.5395833333333333</v>
      </c>
      <c r="G368" s="31">
        <v>0.5395833333333333</v>
      </c>
      <c r="H368" s="30" t="s">
        <v>29</v>
      </c>
      <c r="I368" s="31">
        <v>0.39583333333333331</v>
      </c>
      <c r="J368" s="30" t="s">
        <v>29</v>
      </c>
      <c r="K368" s="31">
        <v>0.53263888888888888</v>
      </c>
      <c r="L368" s="28" t="s">
        <v>145</v>
      </c>
      <c r="M368" s="31">
        <v>0.40486111111111112</v>
      </c>
      <c r="N368" s="31">
        <v>0.52569444444444446</v>
      </c>
      <c r="O368" s="31">
        <v>0.11388888888888889</v>
      </c>
      <c r="P368" s="39">
        <v>54.2</v>
      </c>
      <c r="Q368" s="31">
        <v>0.12430555555555556</v>
      </c>
      <c r="W368" s="30" t="s">
        <v>164</v>
      </c>
      <c r="X368" s="30"/>
      <c r="Y368" s="30"/>
      <c r="Z368" s="30"/>
      <c r="AA368" s="30"/>
      <c r="AB368" s="30"/>
      <c r="AC368" s="30"/>
    </row>
    <row r="369" spans="2:29">
      <c r="B369" s="44" t="s">
        <v>682</v>
      </c>
      <c r="C369" s="45"/>
      <c r="D369" s="31">
        <v>0.56944444444444442</v>
      </c>
      <c r="E369" s="31">
        <v>0.56944444444444442</v>
      </c>
      <c r="F369" s="31">
        <v>0.67291666666666672</v>
      </c>
      <c r="G369" s="31">
        <v>0.67291666666666672</v>
      </c>
      <c r="H369" s="30" t="s">
        <v>29</v>
      </c>
      <c r="I369" s="31">
        <v>0.57638888888888884</v>
      </c>
      <c r="J369" s="30" t="s">
        <v>29</v>
      </c>
      <c r="K369" s="31">
        <v>0.66597222222222219</v>
      </c>
      <c r="L369" s="28" t="s">
        <v>145</v>
      </c>
      <c r="M369" s="31">
        <v>0.5854166666666667</v>
      </c>
      <c r="N369" s="31">
        <v>0.65902777777777777</v>
      </c>
      <c r="O369" s="31">
        <v>6.1805555555555558E-2</v>
      </c>
      <c r="P369" s="39">
        <v>29.6</v>
      </c>
      <c r="Q369" s="31">
        <v>6.1805555555555558E-2</v>
      </c>
      <c r="W369" s="30" t="s">
        <v>164</v>
      </c>
      <c r="X369" s="30"/>
      <c r="Y369" s="30"/>
      <c r="Z369" s="30"/>
      <c r="AA369" s="30"/>
      <c r="AB369" s="30"/>
      <c r="AC369" s="30"/>
    </row>
    <row r="370" spans="2:29">
      <c r="B370" s="44" t="s">
        <v>683</v>
      </c>
      <c r="C370" s="45"/>
      <c r="D370" s="31">
        <v>0.7006944444444444</v>
      </c>
      <c r="E370" s="31">
        <v>0.7006944444444444</v>
      </c>
      <c r="F370" s="31">
        <v>0.85763888888888884</v>
      </c>
      <c r="G370" s="31">
        <v>0.85763888888888884</v>
      </c>
      <c r="H370" s="30" t="s">
        <v>29</v>
      </c>
      <c r="I370" s="31">
        <v>0.70763888888888893</v>
      </c>
      <c r="J370" s="30" t="s">
        <v>29</v>
      </c>
      <c r="K370" s="31">
        <v>0.85069444444444442</v>
      </c>
      <c r="L370" s="28" t="s">
        <v>145</v>
      </c>
      <c r="M370" s="31">
        <v>0.71666666666666667</v>
      </c>
      <c r="N370" s="31">
        <v>0.84375</v>
      </c>
      <c r="O370" s="31">
        <v>6.3888888888888884E-2</v>
      </c>
      <c r="P370" s="39">
        <v>29.6</v>
      </c>
      <c r="Q370" s="31">
        <v>6.3888888888888884E-2</v>
      </c>
      <c r="W370" s="30" t="s">
        <v>164</v>
      </c>
      <c r="X370" s="30"/>
      <c r="Y370" s="30"/>
      <c r="Z370" s="30"/>
      <c r="AA370" s="30"/>
      <c r="AB370" s="30"/>
      <c r="AC370" s="30"/>
    </row>
    <row r="371" spans="2:29">
      <c r="B371" s="44" t="s">
        <v>680</v>
      </c>
      <c r="C371" s="46"/>
      <c r="D371" s="31">
        <v>0.38541666666666669</v>
      </c>
      <c r="E371" s="31">
        <v>0.38541666666666669</v>
      </c>
      <c r="F371" s="31">
        <v>0.85763888888888884</v>
      </c>
      <c r="G371" s="31">
        <v>0.85763888888888884</v>
      </c>
      <c r="H371" s="30" t="s">
        <v>29</v>
      </c>
      <c r="I371" s="31"/>
      <c r="J371" s="30" t="s">
        <v>29</v>
      </c>
      <c r="K371" s="31">
        <v>0.85069444444444442</v>
      </c>
      <c r="L371" s="28" t="s">
        <v>145</v>
      </c>
      <c r="M371" s="31">
        <v>0.40486111111111112</v>
      </c>
      <c r="N371" s="31">
        <v>0.84375</v>
      </c>
      <c r="O371" s="31">
        <v>0.23958333333333334</v>
      </c>
      <c r="P371" s="39">
        <v>113.4</v>
      </c>
      <c r="Q371" s="31">
        <v>0.2673611111111111</v>
      </c>
      <c r="W371" s="30" t="s">
        <v>164</v>
      </c>
      <c r="X371" s="30"/>
      <c r="Y371" s="30"/>
      <c r="Z371" s="30"/>
      <c r="AA371" s="30"/>
      <c r="AB371" s="30"/>
      <c r="AC371" s="30"/>
    </row>
    <row r="372" spans="2:29">
      <c r="B372" s="44"/>
      <c r="C372" s="45"/>
      <c r="D372" s="31"/>
      <c r="E372" s="31"/>
      <c r="F372" s="31"/>
      <c r="G372" s="31"/>
      <c r="H372" s="30"/>
      <c r="I372" s="31"/>
      <c r="J372" s="30"/>
      <c r="K372" s="31"/>
      <c r="L372" s="28"/>
      <c r="M372" s="31"/>
      <c r="N372" s="31"/>
      <c r="O372" s="31"/>
      <c r="P372" s="39"/>
      <c r="Q372" s="31"/>
      <c r="W372" s="30"/>
      <c r="X372" s="30"/>
      <c r="Y372" s="30"/>
      <c r="Z372" s="30"/>
      <c r="AA372" s="30"/>
      <c r="AB372" s="30"/>
      <c r="AC372" s="30"/>
    </row>
    <row r="373" spans="2:29">
      <c r="B373" s="44" t="s">
        <v>595</v>
      </c>
      <c r="C373" s="45"/>
      <c r="D373" s="31">
        <v>0.3972222222222222</v>
      </c>
      <c r="E373" s="31">
        <v>0.3972222222222222</v>
      </c>
      <c r="F373" s="31">
        <v>0.51180555555555551</v>
      </c>
      <c r="G373" s="31">
        <v>0.51180555555555551</v>
      </c>
      <c r="H373" s="30" t="s">
        <v>29</v>
      </c>
      <c r="I373" s="31">
        <v>0.40763888888888888</v>
      </c>
      <c r="J373" s="30" t="s">
        <v>29</v>
      </c>
      <c r="K373" s="31">
        <v>0.50486111111111109</v>
      </c>
      <c r="L373" s="28" t="s">
        <v>594</v>
      </c>
      <c r="M373" s="31">
        <v>0.41666666666666669</v>
      </c>
      <c r="N373" s="31">
        <v>0.49791666666666667</v>
      </c>
      <c r="O373" s="31">
        <v>9.7222222222222224E-2</v>
      </c>
      <c r="P373" s="39">
        <v>25.2</v>
      </c>
      <c r="Q373" s="31">
        <v>9.7222222222222224E-2</v>
      </c>
      <c r="W373" s="30" t="s">
        <v>164</v>
      </c>
      <c r="X373" s="30"/>
      <c r="Y373" s="30"/>
      <c r="Z373" s="30"/>
      <c r="AA373" s="30"/>
      <c r="AB373" s="30"/>
      <c r="AC373" s="30"/>
    </row>
    <row r="374" spans="2:29">
      <c r="B374" s="44" t="s">
        <v>596</v>
      </c>
      <c r="C374" s="45"/>
      <c r="D374" s="31">
        <v>0.56736111111111109</v>
      </c>
      <c r="E374" s="31">
        <v>0.56736111111111109</v>
      </c>
      <c r="F374" s="31">
        <v>0.67847222222222225</v>
      </c>
      <c r="G374" s="31">
        <v>0.67847222222222225</v>
      </c>
      <c r="H374" s="30" t="s">
        <v>29</v>
      </c>
      <c r="I374" s="31">
        <v>0.57430555555555551</v>
      </c>
      <c r="J374" s="30" t="s">
        <v>29</v>
      </c>
      <c r="K374" s="31">
        <v>0.67152777777777772</v>
      </c>
      <c r="L374" s="28" t="s">
        <v>594</v>
      </c>
      <c r="M374" s="31">
        <v>0.58333333333333337</v>
      </c>
      <c r="N374" s="31">
        <v>0.6645833333333333</v>
      </c>
      <c r="O374" s="31">
        <v>9.7222222222222224E-2</v>
      </c>
      <c r="P374" s="39">
        <v>25.2</v>
      </c>
      <c r="Q374" s="31">
        <v>9.7222222222222224E-2</v>
      </c>
      <c r="W374" s="30" t="s">
        <v>164</v>
      </c>
      <c r="X374" s="30"/>
      <c r="Y374" s="30"/>
      <c r="Z374" s="30"/>
      <c r="AA374" s="30"/>
      <c r="AB374" s="30"/>
      <c r="AC374" s="30"/>
    </row>
    <row r="375" spans="2:29">
      <c r="B375" s="44" t="s">
        <v>597</v>
      </c>
      <c r="C375" s="45"/>
      <c r="D375" s="31">
        <v>0.73402777777777772</v>
      </c>
      <c r="E375" s="31">
        <v>0.73402777777777772</v>
      </c>
      <c r="F375" s="31">
        <v>0.84513888888888888</v>
      </c>
      <c r="G375" s="31">
        <v>0.84513888888888888</v>
      </c>
      <c r="H375" s="30" t="s">
        <v>29</v>
      </c>
      <c r="I375" s="31">
        <v>0.74097222222222225</v>
      </c>
      <c r="J375" s="30" t="s">
        <v>29</v>
      </c>
      <c r="K375" s="31">
        <v>0.83819444444444446</v>
      </c>
      <c r="L375" s="28" t="s">
        <v>594</v>
      </c>
      <c r="M375" s="31">
        <v>0.75</v>
      </c>
      <c r="N375" s="31">
        <v>0.83125000000000004</v>
      </c>
      <c r="O375" s="31">
        <v>9.7222222222222224E-2</v>
      </c>
      <c r="P375" s="39">
        <v>25.2</v>
      </c>
      <c r="Q375" s="31">
        <v>9.7222222222222224E-2</v>
      </c>
      <c r="W375" s="30" t="s">
        <v>164</v>
      </c>
      <c r="X375" s="30"/>
      <c r="Y375" s="30"/>
      <c r="Z375" s="30"/>
      <c r="AA375" s="30"/>
      <c r="AB375" s="30"/>
      <c r="AC375" s="30"/>
    </row>
    <row r="376" spans="2:29">
      <c r="B376" s="44" t="s">
        <v>591</v>
      </c>
      <c r="C376" s="46"/>
      <c r="D376" s="31">
        <v>0.3972222222222222</v>
      </c>
      <c r="E376" s="31">
        <v>0.3972222222222222</v>
      </c>
      <c r="F376" s="31">
        <v>0.84513888888888888</v>
      </c>
      <c r="G376" s="31">
        <v>0.84513888888888888</v>
      </c>
      <c r="H376" s="30" t="s">
        <v>29</v>
      </c>
      <c r="I376" s="31">
        <v>0.40763888888888888</v>
      </c>
      <c r="J376" s="30" t="s">
        <v>29</v>
      </c>
      <c r="K376" s="31">
        <v>0.83819444444444446</v>
      </c>
      <c r="L376" s="28" t="s">
        <v>594</v>
      </c>
      <c r="M376" s="31">
        <v>0.41666666666666669</v>
      </c>
      <c r="N376" s="31">
        <v>0.83125000000000004</v>
      </c>
      <c r="O376" s="31">
        <v>0.29166666666666669</v>
      </c>
      <c r="P376" s="39">
        <v>75.599999999999994</v>
      </c>
      <c r="Q376" s="31">
        <v>0.30902777777777779</v>
      </c>
      <c r="W376" s="30" t="s">
        <v>164</v>
      </c>
      <c r="X376" s="30"/>
      <c r="Y376" s="30"/>
      <c r="Z376" s="30"/>
      <c r="AA376" s="30"/>
      <c r="AB376" s="30"/>
      <c r="AC376" s="30"/>
    </row>
    <row r="377" spans="2:29">
      <c r="B377" s="44" t="s">
        <v>598</v>
      </c>
      <c r="C377" s="45"/>
      <c r="D377" s="31">
        <v>0.48055555555555557</v>
      </c>
      <c r="E377" s="31">
        <v>0.48055555555555557</v>
      </c>
      <c r="F377" s="31">
        <v>0.59513888888888888</v>
      </c>
      <c r="G377" s="31">
        <v>0.59513888888888888</v>
      </c>
      <c r="H377" s="30" t="s">
        <v>29</v>
      </c>
      <c r="I377" s="31">
        <v>0.4909722222222222</v>
      </c>
      <c r="J377" s="30" t="s">
        <v>29</v>
      </c>
      <c r="K377" s="31">
        <v>0.58819444444444446</v>
      </c>
      <c r="L377" s="28" t="s">
        <v>593</v>
      </c>
      <c r="M377" s="31">
        <v>0.5</v>
      </c>
      <c r="N377" s="31">
        <v>0.58125000000000004</v>
      </c>
      <c r="O377" s="31">
        <v>9.7222222222222224E-2</v>
      </c>
      <c r="P377" s="39">
        <v>25.2</v>
      </c>
      <c r="Q377" s="31">
        <v>9.7222222222222224E-2</v>
      </c>
      <c r="W377" s="30" t="s">
        <v>164</v>
      </c>
      <c r="X377" s="30"/>
      <c r="Y377" s="30"/>
      <c r="Z377" s="30"/>
      <c r="AA377" s="30"/>
      <c r="AB377" s="30"/>
      <c r="AC377" s="30"/>
    </row>
    <row r="378" spans="2:29">
      <c r="B378" s="44" t="s">
        <v>599</v>
      </c>
      <c r="C378" s="45"/>
      <c r="D378" s="31">
        <v>0.65069444444444446</v>
      </c>
      <c r="E378" s="31">
        <v>0.65069444444444446</v>
      </c>
      <c r="F378" s="31">
        <v>0.76180555555555551</v>
      </c>
      <c r="G378" s="31">
        <v>0.76180555555555551</v>
      </c>
      <c r="H378" s="30" t="s">
        <v>29</v>
      </c>
      <c r="I378" s="31">
        <v>0.65763888888888888</v>
      </c>
      <c r="J378" s="30" t="s">
        <v>29</v>
      </c>
      <c r="K378" s="31">
        <v>0.75486111111111109</v>
      </c>
      <c r="L378" s="28" t="s">
        <v>593</v>
      </c>
      <c r="M378" s="31">
        <v>0.66666666666666663</v>
      </c>
      <c r="N378" s="31">
        <v>0.74791666666666667</v>
      </c>
      <c r="O378" s="31">
        <v>9.7222222222222224E-2</v>
      </c>
      <c r="P378" s="39">
        <v>25.2</v>
      </c>
      <c r="Q378" s="31">
        <v>9.7222222222222224E-2</v>
      </c>
      <c r="W378" s="30" t="s">
        <v>164</v>
      </c>
      <c r="X378" s="30"/>
      <c r="Y378" s="30"/>
      <c r="Z378" s="30"/>
      <c r="AA378" s="30"/>
      <c r="AB378" s="30"/>
      <c r="AC378" s="30"/>
    </row>
    <row r="379" spans="2:29">
      <c r="B379" s="44" t="s">
        <v>592</v>
      </c>
      <c r="C379" s="46"/>
      <c r="D379" s="31">
        <v>0.48055555555555557</v>
      </c>
      <c r="E379" s="31">
        <v>0.48055555555555557</v>
      </c>
      <c r="F379" s="31">
        <v>0.76180555555555551</v>
      </c>
      <c r="G379" s="31">
        <v>0.76180555555555551</v>
      </c>
      <c r="H379" s="30" t="s">
        <v>29</v>
      </c>
      <c r="I379" s="31">
        <v>0.4909722222222222</v>
      </c>
      <c r="J379" s="30" t="s">
        <v>29</v>
      </c>
      <c r="K379" s="31">
        <v>0.75486111111111109</v>
      </c>
      <c r="L379" s="28" t="s">
        <v>593</v>
      </c>
      <c r="M379" s="31">
        <v>0.5</v>
      </c>
      <c r="N379" s="31">
        <v>0.74791666666666667</v>
      </c>
      <c r="O379" s="31">
        <v>0.19444444444444445</v>
      </c>
      <c r="P379" s="39">
        <v>50.4</v>
      </c>
      <c r="Q379" s="31">
        <v>0.21180555555555555</v>
      </c>
      <c r="W379" s="30" t="s">
        <v>164</v>
      </c>
      <c r="X379" s="30"/>
      <c r="Y379" s="30"/>
      <c r="Z379" s="30"/>
      <c r="AA379" s="30"/>
      <c r="AB379" s="30"/>
      <c r="AC379" s="30"/>
    </row>
    <row r="380" spans="2:29">
      <c r="W380" s="30"/>
      <c r="X380" s="30"/>
      <c r="Y380" s="30"/>
      <c r="Z380" s="30"/>
      <c r="AA380" s="30"/>
      <c r="AB380" s="30"/>
      <c r="AC380" s="30"/>
    </row>
    <row r="381" spans="2:29">
      <c r="B381" s="44" t="s">
        <v>414</v>
      </c>
      <c r="C381" s="26"/>
      <c r="D381" s="36">
        <v>0.31388888888888888</v>
      </c>
      <c r="E381" s="36">
        <v>0.31388888888888888</v>
      </c>
      <c r="F381" s="36">
        <v>0.38263888888888892</v>
      </c>
      <c r="G381" s="36">
        <v>0.38263888888888892</v>
      </c>
      <c r="H381" s="30" t="s">
        <v>29</v>
      </c>
      <c r="I381" s="38">
        <v>0.32430555555555557</v>
      </c>
      <c r="J381" s="30" t="s">
        <v>29</v>
      </c>
      <c r="K381" s="31">
        <v>0.3756944444444445</v>
      </c>
      <c r="L381" s="28" t="s">
        <v>213</v>
      </c>
      <c r="M381" s="31">
        <v>0.33333333333333331</v>
      </c>
      <c r="N381" s="38">
        <v>0.36875000000000002</v>
      </c>
      <c r="O381" s="31">
        <v>4.4444444444444446E-2</v>
      </c>
      <c r="P381" s="39">
        <v>19.2</v>
      </c>
      <c r="Q381" s="36">
        <v>6.1805555555555558E-2</v>
      </c>
      <c r="U381" s="36"/>
      <c r="V381" s="36"/>
      <c r="W381" s="30" t="s">
        <v>164</v>
      </c>
      <c r="X381" s="30"/>
      <c r="Y381" s="30"/>
      <c r="Z381" s="30"/>
      <c r="AA381" s="30"/>
      <c r="AB381" s="30"/>
      <c r="AC381" s="30"/>
    </row>
    <row r="382" spans="2:29">
      <c r="B382" s="44" t="s">
        <v>415</v>
      </c>
      <c r="C382" s="26"/>
      <c r="D382" s="36">
        <v>0.64374999999999993</v>
      </c>
      <c r="E382" s="36">
        <v>0.64374999999999993</v>
      </c>
      <c r="F382" s="36">
        <v>0.70208333333333339</v>
      </c>
      <c r="G382" s="36">
        <v>0.70208333333333339</v>
      </c>
      <c r="H382" s="30" t="s">
        <v>29</v>
      </c>
      <c r="I382" s="38">
        <v>0.65069444444444446</v>
      </c>
      <c r="J382" s="30" t="s">
        <v>29</v>
      </c>
      <c r="K382" s="31">
        <v>0.69513888888888886</v>
      </c>
      <c r="L382" s="28" t="s">
        <v>149</v>
      </c>
      <c r="M382" s="31">
        <v>0.67013888888888884</v>
      </c>
      <c r="N382" s="38">
        <v>0.68819444444444444</v>
      </c>
      <c r="O382" s="31">
        <v>4.4444444444444446E-2</v>
      </c>
      <c r="P382" s="39">
        <v>19.600000000000001</v>
      </c>
      <c r="Q382" s="36">
        <v>5.8333333333333327E-2</v>
      </c>
      <c r="U382" s="36"/>
      <c r="V382" s="36"/>
      <c r="W382" s="30" t="s">
        <v>164</v>
      </c>
      <c r="X382" s="30"/>
      <c r="Y382" s="30"/>
      <c r="Z382" s="30"/>
      <c r="AA382" s="30"/>
      <c r="AB382" s="30"/>
      <c r="AC382" s="30"/>
    </row>
    <row r="383" spans="2:29">
      <c r="B383" s="44" t="s">
        <v>416</v>
      </c>
      <c r="C383" s="26"/>
      <c r="D383" s="36">
        <v>0.6958333333333333</v>
      </c>
      <c r="E383" s="36">
        <v>1.9458333333333335</v>
      </c>
      <c r="F383" s="36">
        <v>0.75416666666666676</v>
      </c>
      <c r="G383" s="36">
        <v>0.75416666666666676</v>
      </c>
      <c r="H383" s="30" t="s">
        <v>29</v>
      </c>
      <c r="I383" s="38">
        <v>0.70277777777777783</v>
      </c>
      <c r="J383" s="30" t="s">
        <v>29</v>
      </c>
      <c r="K383" s="31">
        <v>0.74722222222222223</v>
      </c>
      <c r="L383" s="28" t="s">
        <v>149</v>
      </c>
      <c r="M383" s="31">
        <v>0.72222222222222221</v>
      </c>
      <c r="N383" s="38">
        <v>0.7402777777777777</v>
      </c>
      <c r="O383" s="31">
        <v>4.4444444444444446E-2</v>
      </c>
      <c r="P383" s="39">
        <v>19.600000000000001</v>
      </c>
      <c r="Q383" s="36">
        <v>5.8333333333333327E-2</v>
      </c>
      <c r="U383" s="36"/>
      <c r="V383" s="36"/>
      <c r="W383" s="30" t="s">
        <v>164</v>
      </c>
      <c r="X383" s="30"/>
      <c r="Y383" s="30"/>
      <c r="Z383" s="30"/>
      <c r="AA383" s="30"/>
      <c r="AB383" s="30"/>
      <c r="AC383" s="30"/>
    </row>
    <row r="384" spans="2:29">
      <c r="B384" s="44" t="s">
        <v>417</v>
      </c>
      <c r="C384" s="26"/>
      <c r="D384" s="36">
        <v>0.64374999999999993</v>
      </c>
      <c r="E384" s="36">
        <v>0.64374999999999993</v>
      </c>
      <c r="F384" s="36">
        <v>0.75416666666666676</v>
      </c>
      <c r="G384" s="36">
        <v>0.33749999999999997</v>
      </c>
      <c r="H384" s="30" t="s">
        <v>29</v>
      </c>
      <c r="I384" s="38">
        <v>0.65069444444444446</v>
      </c>
      <c r="J384" s="30" t="s">
        <v>29</v>
      </c>
      <c r="K384" s="31">
        <v>0.74722222222222223</v>
      </c>
      <c r="L384" s="28" t="s">
        <v>149</v>
      </c>
      <c r="M384" s="31">
        <v>0.67013888888888884</v>
      </c>
      <c r="N384" s="38">
        <v>0.7402777777777777</v>
      </c>
      <c r="O384" s="31">
        <v>8.8888888888888892E-2</v>
      </c>
      <c r="P384" s="39">
        <v>39.200000000000003</v>
      </c>
      <c r="Q384" s="36">
        <v>0.11666666666666667</v>
      </c>
      <c r="U384" s="36"/>
      <c r="V384" s="36"/>
      <c r="W384" s="30" t="s">
        <v>164</v>
      </c>
      <c r="X384" s="30"/>
      <c r="Y384" s="30"/>
      <c r="Z384" s="30"/>
      <c r="AA384" s="30"/>
      <c r="AB384" s="30"/>
      <c r="AC384" s="30"/>
    </row>
    <row r="385" spans="1:34">
      <c r="B385" s="44" t="s">
        <v>421</v>
      </c>
      <c r="C385" s="26"/>
      <c r="D385" s="36">
        <v>0.65416666666666667</v>
      </c>
      <c r="E385" s="36">
        <v>0.65416666666666667</v>
      </c>
      <c r="F385" s="36">
        <v>0.75416666666666676</v>
      </c>
      <c r="G385" s="36">
        <v>0.33749999999999997</v>
      </c>
      <c r="H385" s="30" t="s">
        <v>29</v>
      </c>
      <c r="I385" s="38">
        <v>0.66111111111111109</v>
      </c>
      <c r="J385" s="30" t="s">
        <v>29</v>
      </c>
      <c r="K385" s="31">
        <v>0.74722222222222223</v>
      </c>
      <c r="L385" s="28" t="s">
        <v>149</v>
      </c>
      <c r="M385" s="31">
        <v>0.68055555555555547</v>
      </c>
      <c r="N385" s="38">
        <v>0.7402777777777777</v>
      </c>
      <c r="O385" s="31">
        <v>8.8888888888888892E-2</v>
      </c>
      <c r="P385" s="39">
        <v>39.200000000000003</v>
      </c>
      <c r="Q385" s="36">
        <v>0.11666666666666667</v>
      </c>
      <c r="U385" s="36"/>
      <c r="V385" s="36"/>
      <c r="W385" s="30" t="s">
        <v>164</v>
      </c>
      <c r="X385" t="s">
        <v>464</v>
      </c>
      <c r="Y385" t="s">
        <v>202</v>
      </c>
      <c r="Z385" t="s">
        <v>203</v>
      </c>
      <c r="AA385" t="s">
        <v>31</v>
      </c>
      <c r="AB385"/>
      <c r="AC385" t="s">
        <v>262</v>
      </c>
    </row>
    <row r="386" spans="1:34">
      <c r="B386" s="127" t="s">
        <v>418</v>
      </c>
      <c r="D386" s="37" t="e">
        <f ca="1">M386-$X386</f>
        <v>#NAME?</v>
      </c>
      <c r="E386" s="37" t="e">
        <f ca="1">M386-$X386</f>
        <v>#NAME?</v>
      </c>
      <c r="F386" s="36" t="e">
        <f t="shared" ref="F386:F387" ca="1" si="0">N386+Y386</f>
        <v>#NAME?</v>
      </c>
      <c r="G386" s="36" t="e">
        <f t="shared" ref="G386:G387" ca="1" si="1">N386+Y386</f>
        <v>#NAME?</v>
      </c>
      <c r="H386" s="30" t="s">
        <v>29</v>
      </c>
      <c r="I386" s="37" t="e">
        <f t="shared" ref="I386:I387" ca="1" si="2">D386+Z386</f>
        <v>#NAME?</v>
      </c>
      <c r="J386" s="30" t="s">
        <v>29</v>
      </c>
      <c r="K386" s="36" t="e">
        <f ca="1">N386+AC386</f>
        <v>#NAME?</v>
      </c>
      <c r="L386" s="15" t="s">
        <v>213</v>
      </c>
      <c r="M386" s="31" t="e">
        <f ca="1">IF(印刷プレビュー!X13="附属 中　[リスト外1]             ",印刷プレビュー!Z13,IF(印刷プレビュー!X24="附属 中　[リスト外1]             ",印刷プレビュー!Z24,IF(印刷プレビュー!X35="附属 中　[リスト外1]             ",印刷プレビュー!Z35,IFVALUE("0:00"))))</f>
        <v>#NAME?</v>
      </c>
      <c r="N386" s="37" t="e">
        <f ca="1">M386+AA386</f>
        <v>#NAME?</v>
      </c>
      <c r="O386" s="37">
        <v>4.4444444444444446E-2</v>
      </c>
      <c r="P386">
        <v>19.600000000000001</v>
      </c>
      <c r="Q386" s="36">
        <v>5.8333333333333327E-2</v>
      </c>
      <c r="R386" s="37"/>
      <c r="S386"/>
      <c r="T386"/>
      <c r="U386" s="37" t="e">
        <f ca="1">D386</f>
        <v>#NAME?</v>
      </c>
      <c r="V386" s="36" t="e">
        <f ca="1">F386</f>
        <v>#NAME?</v>
      </c>
      <c r="W386" s="30" t="s">
        <v>164</v>
      </c>
      <c r="X386" s="37">
        <v>2.6388888888888889E-2</v>
      </c>
      <c r="Y386" s="37">
        <v>1.3888888888888888E-2</v>
      </c>
      <c r="Z386" s="37">
        <v>1.9444444444444445E-2</v>
      </c>
      <c r="AA386" s="37">
        <v>1.8055555555555557E-2</v>
      </c>
      <c r="AB386"/>
      <c r="AC386" s="37">
        <v>6.9444444444444441E-3</v>
      </c>
      <c r="AD386" s="37"/>
      <c r="AE386" s="37"/>
      <c r="AF386" s="37"/>
      <c r="AH386" s="37"/>
    </row>
    <row r="387" spans="1:34">
      <c r="B387" s="127" t="s">
        <v>419</v>
      </c>
      <c r="D387" s="37" t="e">
        <f ca="1">M387-$X387</f>
        <v>#NAME?</v>
      </c>
      <c r="E387" s="37" t="e">
        <f ca="1">M387-$X387</f>
        <v>#NAME?</v>
      </c>
      <c r="F387" s="36" t="e">
        <f t="shared" ca="1" si="0"/>
        <v>#NAME?</v>
      </c>
      <c r="G387" s="36" t="e">
        <f t="shared" ca="1" si="1"/>
        <v>#NAME?</v>
      </c>
      <c r="H387" s="30" t="s">
        <v>29</v>
      </c>
      <c r="I387" s="37" t="e">
        <f t="shared" ca="1" si="2"/>
        <v>#NAME?</v>
      </c>
      <c r="J387" s="30" t="s">
        <v>29</v>
      </c>
      <c r="K387" s="36" t="e">
        <f ca="1">N387+AC387</f>
        <v>#NAME?</v>
      </c>
      <c r="L387" s="15" t="s">
        <v>213</v>
      </c>
      <c r="M387" s="31" t="e">
        <f ca="1">IF(印刷プレビュー!X24="附属 中　[リスト外2]             ",印刷プレビュー!Z24,IF(印刷プレビュー!X35="附属 中　[リスト外2]             ",印刷プレビュー!Z35,IFVALUE("0:00")))</f>
        <v>#NAME?</v>
      </c>
      <c r="N387" s="37" t="e">
        <f ca="1">M387+AA387</f>
        <v>#NAME?</v>
      </c>
      <c r="O387" s="37">
        <v>4.4444444444444446E-2</v>
      </c>
      <c r="P387">
        <v>19.600000000000001</v>
      </c>
      <c r="Q387" s="36">
        <v>5.8333333333333327E-2</v>
      </c>
      <c r="R387" s="37"/>
      <c r="S387"/>
      <c r="T387"/>
      <c r="U387" s="37" t="e">
        <f ca="1">D387</f>
        <v>#NAME?</v>
      </c>
      <c r="V387" s="36" t="e">
        <f ca="1">F387</f>
        <v>#NAME?</v>
      </c>
      <c r="W387" s="30" t="s">
        <v>164</v>
      </c>
      <c r="X387" s="37">
        <v>2.6388888888888889E-2</v>
      </c>
      <c r="Y387" s="37">
        <v>1.3888888888888888E-2</v>
      </c>
      <c r="Z387" s="37">
        <v>1.9444444444444445E-2</v>
      </c>
      <c r="AA387" s="37">
        <v>1.8055555555555557E-2</v>
      </c>
      <c r="AB387"/>
      <c r="AC387" s="37">
        <v>6.9444444444444441E-3</v>
      </c>
      <c r="AD387" s="37"/>
      <c r="AE387" s="37"/>
      <c r="AF387" s="37"/>
      <c r="AH387" s="37"/>
    </row>
    <row r="388" spans="1:34">
      <c r="B388" s="127"/>
      <c r="D388" s="37"/>
      <c r="E388" s="37"/>
      <c r="H388" s="30"/>
      <c r="J388" s="30"/>
      <c r="K388" s="36"/>
      <c r="P388"/>
      <c r="Q388" s="36"/>
      <c r="R388" s="37"/>
      <c r="S388"/>
      <c r="T388"/>
      <c r="U388" s="37"/>
      <c r="V388" s="36"/>
      <c r="W388" s="30"/>
      <c r="X388" s="30"/>
      <c r="Y388" s="30"/>
      <c r="Z388" s="30"/>
      <c r="AA388" s="30"/>
      <c r="AB388" s="30"/>
      <c r="AC388" s="30"/>
      <c r="AD388" s="37"/>
      <c r="AE388" s="37"/>
      <c r="AF388" s="37"/>
      <c r="AH388" s="37"/>
    </row>
    <row r="389" spans="1:34">
      <c r="B389" s="44" t="s">
        <v>420</v>
      </c>
      <c r="D389" s="37">
        <v>0.73124999999999996</v>
      </c>
      <c r="E389" s="37">
        <v>0.73124999999999996</v>
      </c>
      <c r="F389" s="36">
        <v>0.90208333333333335</v>
      </c>
      <c r="G389" s="36">
        <v>0.90208333333333335</v>
      </c>
      <c r="H389" s="30" t="s">
        <v>29</v>
      </c>
      <c r="I389" s="37">
        <v>0.73819444444444449</v>
      </c>
      <c r="J389" s="30" t="s">
        <v>29</v>
      </c>
      <c r="K389" s="36">
        <v>0.89513888888888893</v>
      </c>
      <c r="L389" s="15" t="s">
        <v>145</v>
      </c>
      <c r="M389" s="36">
        <v>0.75069444444444444</v>
      </c>
      <c r="N389" s="37">
        <v>0.88472222222222219</v>
      </c>
      <c r="O389" s="37">
        <v>8.1250000000000003E-2</v>
      </c>
      <c r="P389">
        <v>43.2</v>
      </c>
      <c r="Q389" s="36">
        <v>0.11805555555555555</v>
      </c>
      <c r="R389" s="37"/>
      <c r="S389"/>
      <c r="T389"/>
      <c r="U389" s="37"/>
      <c r="V389" s="36"/>
      <c r="W389" s="30" t="s">
        <v>164</v>
      </c>
      <c r="X389" s="30"/>
      <c r="Y389" s="30"/>
      <c r="Z389" s="30"/>
      <c r="AA389" s="30"/>
      <c r="AB389" s="30"/>
      <c r="AC389" s="30"/>
      <c r="AD389" s="37"/>
      <c r="AE389" s="37"/>
      <c r="AF389" s="37"/>
      <c r="AH389" s="37"/>
    </row>
    <row r="390" spans="1:34">
      <c r="B390" s="44"/>
      <c r="C390" s="26"/>
      <c r="H390" s="30"/>
      <c r="I390" s="38"/>
      <c r="J390" s="30"/>
      <c r="K390" s="38"/>
      <c r="L390" s="28"/>
      <c r="M390" s="31"/>
      <c r="N390" s="38"/>
      <c r="O390" s="31"/>
      <c r="P390" s="39"/>
      <c r="Q390" s="36"/>
      <c r="U390" s="36"/>
      <c r="V390" s="36"/>
      <c r="W390" s="30"/>
      <c r="X390" s="30"/>
      <c r="Y390" s="30"/>
      <c r="Z390" s="30"/>
      <c r="AA390" s="30"/>
      <c r="AB390" s="30"/>
      <c r="AC390" s="30"/>
    </row>
    <row r="391" spans="1:34">
      <c r="B391" s="44" t="s">
        <v>373</v>
      </c>
      <c r="C391" s="26"/>
      <c r="D391" s="36">
        <v>0.25</v>
      </c>
      <c r="E391" s="36">
        <v>0.25</v>
      </c>
      <c r="F391" s="36" t="s">
        <v>200</v>
      </c>
      <c r="G391" s="36" t="s">
        <v>200</v>
      </c>
      <c r="H391" s="30" t="s">
        <v>29</v>
      </c>
      <c r="I391" s="36">
        <v>0.25</v>
      </c>
      <c r="J391" s="30" t="s">
        <v>29</v>
      </c>
      <c r="K391" s="31" t="s">
        <v>200</v>
      </c>
      <c r="L391" s="29" t="s">
        <v>238</v>
      </c>
      <c r="M391" s="36">
        <v>0.25</v>
      </c>
      <c r="N391" s="38" t="s">
        <v>200</v>
      </c>
      <c r="O391" s="31">
        <v>0</v>
      </c>
      <c r="P391" s="29" t="s">
        <v>102</v>
      </c>
      <c r="Q391" s="31">
        <v>0</v>
      </c>
      <c r="W391" s="30" t="s">
        <v>104</v>
      </c>
      <c r="X391" s="30"/>
      <c r="Y391" s="30"/>
      <c r="Z391" s="30"/>
      <c r="AA391" s="30"/>
      <c r="AB391" s="30"/>
      <c r="AC391" s="30"/>
    </row>
    <row r="392" spans="1:34">
      <c r="B392" s="44" t="s">
        <v>374</v>
      </c>
      <c r="C392" s="26"/>
      <c r="D392" s="36">
        <v>0.26041666666666669</v>
      </c>
      <c r="E392" s="36">
        <v>0.26041666666666669</v>
      </c>
      <c r="F392" s="36" t="s">
        <v>200</v>
      </c>
      <c r="G392" s="36" t="s">
        <v>200</v>
      </c>
      <c r="H392" s="30" t="s">
        <v>29</v>
      </c>
      <c r="I392" s="36">
        <v>0.26041666666666669</v>
      </c>
      <c r="J392" s="30" t="s">
        <v>29</v>
      </c>
      <c r="K392" s="31" t="s">
        <v>200</v>
      </c>
      <c r="L392" s="29" t="s">
        <v>238</v>
      </c>
      <c r="M392" s="36">
        <v>0.26041666666666669</v>
      </c>
      <c r="N392" s="38" t="s">
        <v>200</v>
      </c>
      <c r="O392" s="29" t="s">
        <v>101</v>
      </c>
      <c r="P392" s="29" t="s">
        <v>102</v>
      </c>
      <c r="Q392" s="29" t="s">
        <v>101</v>
      </c>
      <c r="W392" s="30" t="s">
        <v>105</v>
      </c>
      <c r="X392" s="30"/>
      <c r="Y392" s="30"/>
      <c r="Z392" s="30"/>
      <c r="AA392" s="30"/>
      <c r="AB392" s="30"/>
      <c r="AC392" s="30"/>
    </row>
    <row r="393" spans="1:34">
      <c r="B393" s="44" t="s">
        <v>375</v>
      </c>
      <c r="C393" s="26"/>
      <c r="D393" s="36" t="s">
        <v>200</v>
      </c>
      <c r="E393" s="36" t="s">
        <v>200</v>
      </c>
      <c r="F393" s="36">
        <v>0.79166666666666663</v>
      </c>
      <c r="G393" s="36">
        <v>0.79166666666666663</v>
      </c>
      <c r="H393" s="30" t="s">
        <v>29</v>
      </c>
      <c r="I393" s="38" t="s">
        <v>200</v>
      </c>
      <c r="J393" s="30" t="s">
        <v>29</v>
      </c>
      <c r="K393" s="36">
        <v>0.79166666666666663</v>
      </c>
      <c r="L393" s="29" t="s">
        <v>238</v>
      </c>
      <c r="M393" s="31" t="s">
        <v>200</v>
      </c>
      <c r="N393" s="36">
        <v>0.79166666666666663</v>
      </c>
      <c r="O393" s="29" t="s">
        <v>101</v>
      </c>
      <c r="P393" s="29" t="s">
        <v>102</v>
      </c>
      <c r="Q393" s="29" t="s">
        <v>101</v>
      </c>
      <c r="W393" s="30" t="s">
        <v>106</v>
      </c>
      <c r="X393" s="30"/>
      <c r="Y393" s="30"/>
      <c r="Z393" s="30"/>
      <c r="AA393" s="30"/>
      <c r="AB393" s="30"/>
      <c r="AC393" s="30"/>
    </row>
    <row r="394" spans="1:34">
      <c r="B394" s="44" t="s">
        <v>376</v>
      </c>
      <c r="C394" s="26"/>
      <c r="D394" s="36" t="s">
        <v>200</v>
      </c>
      <c r="E394" s="36" t="s">
        <v>200</v>
      </c>
      <c r="F394" s="36">
        <v>0.875</v>
      </c>
      <c r="G394" s="36">
        <v>0.875</v>
      </c>
      <c r="H394" s="30" t="s">
        <v>29</v>
      </c>
      <c r="I394" s="38" t="s">
        <v>200</v>
      </c>
      <c r="J394" s="30" t="s">
        <v>29</v>
      </c>
      <c r="K394" s="36">
        <v>0.875</v>
      </c>
      <c r="L394" s="29" t="s">
        <v>238</v>
      </c>
      <c r="M394" s="31" t="s">
        <v>200</v>
      </c>
      <c r="N394" s="36">
        <v>0.875</v>
      </c>
      <c r="O394" s="29" t="s">
        <v>101</v>
      </c>
      <c r="P394" s="29" t="s">
        <v>102</v>
      </c>
      <c r="Q394" s="29" t="s">
        <v>101</v>
      </c>
      <c r="W394" s="30" t="s">
        <v>107</v>
      </c>
      <c r="X394" s="30"/>
      <c r="Y394" s="30"/>
      <c r="Z394" s="30"/>
      <c r="AA394" s="30"/>
      <c r="AB394" s="30"/>
      <c r="AC394" s="30"/>
    </row>
    <row r="395" spans="1:34">
      <c r="B395" s="44"/>
      <c r="C395" s="26"/>
      <c r="H395" s="30"/>
      <c r="I395" s="38"/>
      <c r="J395" s="30"/>
      <c r="K395" s="36"/>
      <c r="L395" s="29"/>
      <c r="M395" s="31"/>
      <c r="N395" s="36"/>
      <c r="O395" s="29"/>
      <c r="P395" s="29"/>
      <c r="Q395" s="29"/>
      <c r="W395" s="30"/>
      <c r="X395" s="30"/>
      <c r="Y395" s="30"/>
      <c r="Z395" s="30"/>
      <c r="AA395" s="30"/>
      <c r="AB395" s="30"/>
      <c r="AC395" s="30"/>
    </row>
    <row r="396" spans="1:34">
      <c r="A396" t="s">
        <v>211</v>
      </c>
      <c r="B396" s="44" t="s">
        <v>660</v>
      </c>
      <c r="C396" s="46"/>
      <c r="D396" s="31">
        <v>0.30486111111111114</v>
      </c>
      <c r="E396" s="31">
        <v>0.30486111111111114</v>
      </c>
      <c r="F396" s="31">
        <v>0.82986111111111116</v>
      </c>
      <c r="G396" s="31">
        <v>0.82986111111111116</v>
      </c>
      <c r="H396" s="30" t="s">
        <v>29</v>
      </c>
      <c r="I396" s="31">
        <v>0.31527777777777777</v>
      </c>
      <c r="J396" s="30" t="s">
        <v>29</v>
      </c>
      <c r="K396" s="31">
        <v>0.82291666666666663</v>
      </c>
      <c r="L396" s="28">
        <v>1082</v>
      </c>
      <c r="M396" s="31">
        <v>0.32430555555555557</v>
      </c>
      <c r="N396" s="31">
        <v>0.80763888888888891</v>
      </c>
      <c r="O396" s="31">
        <v>0.27291666666666664</v>
      </c>
      <c r="P396" s="39">
        <v>100</v>
      </c>
      <c r="Q396" s="31">
        <v>0.30763888888888891</v>
      </c>
      <c r="R396" s="37"/>
      <c r="S396"/>
      <c r="T396"/>
      <c r="U396"/>
      <c r="V396"/>
      <c r="W396" s="30" t="s">
        <v>164</v>
      </c>
      <c r="X396" s="30"/>
      <c r="Y396" s="30"/>
      <c r="Z396" s="30"/>
      <c r="AA396" s="30"/>
      <c r="AB396" s="30"/>
      <c r="AC396" s="30"/>
    </row>
    <row r="397" spans="1:34">
      <c r="B397" s="44" t="s">
        <v>659</v>
      </c>
      <c r="C397" s="46"/>
      <c r="D397" s="31" t="str">
        <f ca="1">IF($A$4="平日","9:09","9:39")</f>
        <v>9:09</v>
      </c>
      <c r="E397" s="31" t="str">
        <f ca="1">IF($A$4="平日","9:09","9:39")</f>
        <v>9:09</v>
      </c>
      <c r="F397" s="31" t="str">
        <f ca="1">IF($A$4="平日","21:22","20:05")</f>
        <v>21:22</v>
      </c>
      <c r="G397" s="31" t="str">
        <f ca="1">IF($A$4="平日","21:22","20:05")</f>
        <v>21:22</v>
      </c>
      <c r="H397" s="30" t="s">
        <v>29</v>
      </c>
      <c r="I397" s="31" t="str">
        <f ca="1">IF($A$4="平日","9:14","9:44")</f>
        <v>9:14</v>
      </c>
      <c r="J397" s="30" t="s">
        <v>29</v>
      </c>
      <c r="K397" s="31" t="str">
        <f ca="1">IF($A$4="平日","21:12","19:55")</f>
        <v>21:12</v>
      </c>
      <c r="L397" s="30" t="str">
        <f ca="1">IF($A$4="平日","1031  1037     1065","1037      1065")</f>
        <v>1031  1037     1065</v>
      </c>
      <c r="M397" s="31" t="str">
        <f ca="1">IF($A$4="平日","9:40","10:10")</f>
        <v>9:40</v>
      </c>
      <c r="N397" s="31" t="str">
        <f ca="1">IF($A$4="平日","21:02","19:45")</f>
        <v>21:02</v>
      </c>
      <c r="O397" s="31" t="str">
        <f ca="1">IF($A$4="平日","7:25","6:25")</f>
        <v>7:25</v>
      </c>
      <c r="P397" s="39">
        <f ca="1">IF($A$4="平日",93.1,77.8)</f>
        <v>93.1</v>
      </c>
      <c r="Q397" s="31" t="str">
        <f ca="1">IF($A$4="平日","8:18","7:21")</f>
        <v>8:18</v>
      </c>
      <c r="R397" s="37"/>
      <c r="S397"/>
      <c r="T397"/>
      <c r="U397"/>
      <c r="V397"/>
      <c r="W397" s="30" t="s">
        <v>164</v>
      </c>
      <c r="X397" s="30"/>
      <c r="Y397" s="30"/>
      <c r="Z397" s="30"/>
      <c r="AA397" s="30"/>
      <c r="AB397" s="30"/>
      <c r="AC397" s="30"/>
    </row>
    <row r="398" spans="1:34">
      <c r="B398" s="44" t="s">
        <v>658</v>
      </c>
      <c r="C398" s="46"/>
      <c r="D398" s="31" t="str">
        <f ca="1">IF($A$4="平日","7:06","9:02")</f>
        <v>7:06</v>
      </c>
      <c r="E398" s="31" t="str">
        <f ca="1">IF($A$4="平日","7:06","9:02")</f>
        <v>7:06</v>
      </c>
      <c r="F398" s="31" t="str">
        <f ca="1">IF($A$4="平日","19:43","19:01")</f>
        <v>19:43</v>
      </c>
      <c r="G398" s="31" t="str">
        <f ca="1">IF($A$4="平日","19:43","19:01")</f>
        <v>19:43</v>
      </c>
      <c r="H398" s="30" t="s">
        <v>29</v>
      </c>
      <c r="I398" s="31" t="str">
        <f ca="1">IF($A$4="平日","7:21","9:17")</f>
        <v>7:21</v>
      </c>
      <c r="J398" s="30" t="s">
        <v>29</v>
      </c>
      <c r="K398" s="31" t="str">
        <f ca="1">IF($A$4="平日","19:33","19:01")</f>
        <v>19:33</v>
      </c>
      <c r="L398" s="30" t="str">
        <f ca="1">IF($A$4="平日","462","1065     1031")</f>
        <v>462</v>
      </c>
      <c r="M398" s="31" t="str">
        <f ca="1">IF($A$4="平日","7:44","9:30")</f>
        <v>7:44</v>
      </c>
      <c r="N398" s="31" t="str">
        <f ca="1">IF($A$4="平日","19:13","18:30")</f>
        <v>19:13</v>
      </c>
      <c r="O398" s="31" t="str">
        <f ca="1">IF($A$4="平日","5:45","6:20")</f>
        <v>5:45</v>
      </c>
      <c r="P398" s="39">
        <f ca="1">IF($A$4="平日",108,78)</f>
        <v>108</v>
      </c>
      <c r="Q398" s="31" t="str">
        <f ca="1">IF($A$4="平日","6:36","7:19")</f>
        <v>6:36</v>
      </c>
      <c r="R398" s="37"/>
      <c r="S398"/>
      <c r="T398"/>
      <c r="U398"/>
      <c r="V398"/>
      <c r="W398" s="30" t="s">
        <v>164</v>
      </c>
      <c r="X398" s="30"/>
      <c r="Y398" s="30"/>
      <c r="Z398" s="30"/>
      <c r="AA398" s="30"/>
      <c r="AB398" s="30"/>
      <c r="AC398" s="30"/>
    </row>
    <row r="399" spans="1:34">
      <c r="B399" s="44" t="s">
        <v>657</v>
      </c>
      <c r="C399" s="46"/>
      <c r="D399" s="31" t="str">
        <f ca="1">IF($A$4="平日","6:47","10:26")</f>
        <v>6:47</v>
      </c>
      <c r="E399" s="31" t="str">
        <f ca="1">IF($A$4="平日","6:47","10:26")</f>
        <v>6:47</v>
      </c>
      <c r="F399" s="31" t="str">
        <f ca="1">IF($A$4="平日","19:48","19:48")</f>
        <v>19:48</v>
      </c>
      <c r="G399" s="31" t="str">
        <f ca="1">IF($A$4="平日","19:48","19:48")</f>
        <v>19:48</v>
      </c>
      <c r="H399" s="30" t="s">
        <v>29</v>
      </c>
      <c r="I399" s="31" t="str">
        <f ca="1">IF($A$4="平日","7:02","10:41")</f>
        <v>7:02</v>
      </c>
      <c r="J399" s="30" t="s">
        <v>29</v>
      </c>
      <c r="K399" s="31" t="str">
        <f ca="1">IF($A$4="平日","19:38","19:38")</f>
        <v>19:38</v>
      </c>
      <c r="L399" s="30" t="str">
        <f ca="1">IF($A$4="平日","1055     1066","1066    507")</f>
        <v>1055     1066</v>
      </c>
      <c r="M399" s="31" t="str">
        <f ca="1">IF($A$4="平日","7:35","11:04")</f>
        <v>7:35</v>
      </c>
      <c r="N399" s="31" t="str">
        <f ca="1">IF($A$4="平日","19:08","19:08")</f>
        <v>19:08</v>
      </c>
      <c r="O399" s="31" t="str">
        <f ca="1">IF($A$4="平日","7:26","5:21")</f>
        <v>7:26</v>
      </c>
      <c r="P399" s="39">
        <f ca="1">IF($A$4="平日",115.3,84.9)</f>
        <v>115.3</v>
      </c>
      <c r="Q399" s="31" t="str">
        <f ca="1">IF($A$4="平日","8:29","6:13")</f>
        <v>8:29</v>
      </c>
      <c r="R399" s="37"/>
      <c r="S399"/>
      <c r="T399"/>
      <c r="U399"/>
      <c r="V399"/>
      <c r="W399" s="30" t="s">
        <v>164</v>
      </c>
      <c r="X399" s="30"/>
      <c r="Y399" s="30"/>
      <c r="Z399" s="30"/>
      <c r="AA399" s="30"/>
      <c r="AB399" s="30"/>
      <c r="AC399" s="30"/>
    </row>
    <row r="400" spans="1:34">
      <c r="B400" s="44" t="s">
        <v>656</v>
      </c>
      <c r="C400" s="46"/>
      <c r="D400" s="31" t="str">
        <f ca="1">IF($A$4="平日","6:22","8:22")</f>
        <v>6:22</v>
      </c>
      <c r="E400" s="31" t="str">
        <f ca="1">IF($A$4="平日","6:22","8:22")</f>
        <v>6:22</v>
      </c>
      <c r="F400" s="31" t="str">
        <f ca="1">IF($A$4="平日","17:56","17:56")</f>
        <v>17:56</v>
      </c>
      <c r="G400" s="31" t="str">
        <f ca="1">IF($A$4="平日","17:56","17:56")</f>
        <v>17:56</v>
      </c>
      <c r="H400" s="30" t="s">
        <v>29</v>
      </c>
      <c r="I400" s="31" t="str">
        <f ca="1">IF($A$4="平日","6:37","8:37")</f>
        <v>6:37</v>
      </c>
      <c r="J400" s="30" t="s">
        <v>29</v>
      </c>
      <c r="K400" s="31" t="str">
        <f ca="1">IF($A$4="平日","17:46","17:46")</f>
        <v>17:46</v>
      </c>
      <c r="L400" s="30" t="str">
        <f ca="1">IF($A$4="平日","1065     1038     1037","1037     1038")</f>
        <v>1065     1038     1037</v>
      </c>
      <c r="M400" s="31" t="str">
        <f ca="1">IF($A$4="平日","6:50","8:50")</f>
        <v>6:50</v>
      </c>
      <c r="N400" s="31" t="str">
        <f ca="1">IF($A$4="平日","17:35","17:45")</f>
        <v>17:35</v>
      </c>
      <c r="O400" s="31" t="str">
        <f ca="1">IF($A$4="平日","7:33","6:20")</f>
        <v>7:33</v>
      </c>
      <c r="P400" s="39">
        <f ca="1">IF($A$4="平日",93,78)</f>
        <v>93</v>
      </c>
      <c r="Q400" s="31" t="str">
        <f ca="1">IF($A$4="平日","8:24","6:54")</f>
        <v>8:24</v>
      </c>
      <c r="R400" s="37"/>
      <c r="S400"/>
      <c r="T400"/>
      <c r="U400"/>
      <c r="V400"/>
      <c r="W400" s="30" t="s">
        <v>164</v>
      </c>
      <c r="X400" s="30"/>
      <c r="Y400" s="30"/>
      <c r="Z400" s="30"/>
      <c r="AA400" s="30"/>
      <c r="AB400" s="30"/>
      <c r="AC400" s="30"/>
    </row>
    <row r="401" spans="2:29">
      <c r="B401" s="97"/>
      <c r="C401" s="26"/>
      <c r="D401" s="31"/>
      <c r="E401" s="31"/>
      <c r="F401" s="31"/>
      <c r="G401" s="31"/>
      <c r="H401" s="30"/>
      <c r="I401" s="31"/>
      <c r="J401" s="30"/>
      <c r="K401" s="31"/>
      <c r="L401" s="30"/>
      <c r="M401" s="31"/>
      <c r="N401" s="31"/>
      <c r="O401" s="31"/>
      <c r="P401" s="39"/>
      <c r="Q401" s="31"/>
      <c r="R401" s="37"/>
      <c r="S401"/>
      <c r="T401"/>
      <c r="U401"/>
      <c r="V401"/>
      <c r="W401" s="30"/>
      <c r="X401" s="30"/>
      <c r="Y401" s="30"/>
      <c r="Z401" s="30"/>
      <c r="AA401" s="30"/>
      <c r="AB401" s="30"/>
      <c r="AC401" s="30"/>
    </row>
    <row r="402" spans="2:29">
      <c r="B402" s="44" t="s">
        <v>655</v>
      </c>
      <c r="C402" s="46"/>
      <c r="D402" s="31" t="str">
        <f ca="1">IF($A$4="平日","6:57","7:08")</f>
        <v>6:57</v>
      </c>
      <c r="E402" s="31" t="str">
        <f ca="1">IF($A$4="平日","6:57","7:08")</f>
        <v>6:57</v>
      </c>
      <c r="F402" s="31" t="str">
        <f ca="1">IF($A$4="平日","20:45","19:35")</f>
        <v>20:45</v>
      </c>
      <c r="G402" s="31" t="str">
        <f ca="1">IF($A$4="平日","20:45","19:35")</f>
        <v>20:45</v>
      </c>
      <c r="H402" s="30" t="s">
        <v>29</v>
      </c>
      <c r="I402" s="31" t="str">
        <f ca="1">IF($A$4="平日","7:12","7:23")</f>
        <v>7:12</v>
      </c>
      <c r="J402" s="30" t="s">
        <v>29</v>
      </c>
      <c r="K402" s="31" t="str">
        <f ca="1">IF($A$4="平日","20:35","19:25")</f>
        <v>20:35</v>
      </c>
      <c r="L402" s="30" t="str">
        <f ca="1">IF($A$4="平日","1037","1060     1588     1050")</f>
        <v>1037</v>
      </c>
      <c r="M402" s="31" t="str">
        <f ca="1">IF($A$4="平日","7:25","7:36")</f>
        <v>7:25</v>
      </c>
      <c r="N402" s="31" t="str">
        <f ca="1">IF($A$4="平日","20:25","19:15")</f>
        <v>20:25</v>
      </c>
      <c r="O402" s="31" t="str">
        <f ca="1">IF($A$4="平日","9:11","7:49")</f>
        <v>9:11</v>
      </c>
      <c r="P402" s="39">
        <f ca="1">IF($A$4="平日",110.9,100.5)</f>
        <v>110.9</v>
      </c>
      <c r="Q402" s="31" t="str">
        <f ca="1">IF($A$4="平日","10:03","8:13")</f>
        <v>10:03</v>
      </c>
      <c r="R402" s="37"/>
      <c r="S402"/>
      <c r="T402"/>
      <c r="U402"/>
      <c r="V402"/>
      <c r="W402" s="30" t="s">
        <v>164</v>
      </c>
      <c r="X402" s="30"/>
      <c r="Y402" s="30"/>
      <c r="Z402" s="30"/>
      <c r="AA402" s="30"/>
      <c r="AB402" s="30"/>
      <c r="AC402" s="30"/>
    </row>
    <row r="403" spans="2:29">
      <c r="B403" s="44" t="s">
        <v>654</v>
      </c>
      <c r="C403" s="46"/>
      <c r="D403" s="31" t="str">
        <f ca="1">IF($A$4="平日","8:57","9:12")</f>
        <v>8:57</v>
      </c>
      <c r="E403" s="31" t="str">
        <f ca="1">IF($A$4="平日","8:57","9:12")</f>
        <v>8:57</v>
      </c>
      <c r="F403" s="31" t="str">
        <f ca="1">IF($A$4="平日","20:55","19:30")</f>
        <v>20:55</v>
      </c>
      <c r="G403" s="31" t="str">
        <f ca="1">IF($A$4="平日","20:55","19:30")</f>
        <v>20:55</v>
      </c>
      <c r="H403" s="30" t="s">
        <v>29</v>
      </c>
      <c r="I403" s="31" t="str">
        <f ca="1">IF($A$4="平日","9:02","9:27")</f>
        <v>9:02</v>
      </c>
      <c r="J403" s="30" t="s">
        <v>29</v>
      </c>
      <c r="K403" s="31" t="str">
        <f ca="1">IF($A$4="平日","20:45","19:20")</f>
        <v>20:45</v>
      </c>
      <c r="L403" s="30" t="str">
        <f ca="1">IF($A$4="平日","1065     1031     1038","1031     1038")</f>
        <v>1065     1031     1038</v>
      </c>
      <c r="M403" s="31" t="str">
        <f ca="1">IF($A$4="平日","9:30","9:40")</f>
        <v>9:30</v>
      </c>
      <c r="N403" s="31" t="str">
        <f ca="1">IF($A$4="平日","20:35","19:15")</f>
        <v>20:35</v>
      </c>
      <c r="O403" s="31" t="str">
        <f ca="1">IF($A$4="平日","7:38","6:30")</f>
        <v>7:38</v>
      </c>
      <c r="P403" s="39">
        <f ca="1">IF($A$4="平日",93.1,81.6)</f>
        <v>93.1</v>
      </c>
      <c r="Q403" s="31" t="str">
        <f ca="1">IF($A$4="平日","8:38","7:08")</f>
        <v>8:38</v>
      </c>
      <c r="R403" s="37"/>
      <c r="S403"/>
      <c r="T403"/>
      <c r="U403"/>
      <c r="V403"/>
      <c r="W403" s="30" t="s">
        <v>164</v>
      </c>
      <c r="X403" s="30"/>
      <c r="Y403" s="30"/>
      <c r="Z403" s="30"/>
      <c r="AA403" s="30"/>
      <c r="AB403" s="30"/>
      <c r="AC403" s="30"/>
    </row>
    <row r="404" spans="2:29">
      <c r="B404" s="44" t="s">
        <v>653</v>
      </c>
      <c r="C404" s="46"/>
      <c r="D404" s="31" t="str">
        <f ca="1">IF($A$4="平日","6:37","11:39")</f>
        <v>6:37</v>
      </c>
      <c r="E404" s="31" t="str">
        <f ca="1">IF($A$4="平日","6:37","11:39")</f>
        <v>6:37</v>
      </c>
      <c r="F404" s="31" t="str">
        <f ca="1">IF($A$4="平日","19:51","20:45")</f>
        <v>19:51</v>
      </c>
      <c r="G404" s="31" t="str">
        <f ca="1">IF($A$4="平日","19:51","20:45")</f>
        <v>19:51</v>
      </c>
      <c r="H404" s="30" t="s">
        <v>29</v>
      </c>
      <c r="I404" s="31" t="str">
        <f ca="1">IF($A$4="平日","6:52","11:44")</f>
        <v>6:52</v>
      </c>
      <c r="J404" s="30" t="s">
        <v>29</v>
      </c>
      <c r="K404" s="31" t="str">
        <f ca="1">IF($A$4="平日","19:41","20:35")</f>
        <v>19:41</v>
      </c>
      <c r="L404" s="30" t="str">
        <f ca="1">IF($A$4="平日","1063    1588    1050 1061","1031     1037")</f>
        <v>1063    1588    1050 1061</v>
      </c>
      <c r="M404" s="31" t="str">
        <f ca="1">IF($A$4="平日","7:05","12:10")</f>
        <v>7:05</v>
      </c>
      <c r="N404" s="31" t="str">
        <f ca="1">IF($A$4="平日","19:31","20:25")</f>
        <v>19:31</v>
      </c>
      <c r="O404" s="31" t="str">
        <f ca="1">IF($A$4="平日","8:25","5:12")</f>
        <v>8:25</v>
      </c>
      <c r="P404" s="39">
        <f ca="1">IF($A$4="平日",108.1,63)</f>
        <v>108.1</v>
      </c>
      <c r="Q404" s="31" t="str">
        <f ca="1">IF($A$4="平日","8:57","6:06")</f>
        <v>8:57</v>
      </c>
      <c r="R404" s="37"/>
      <c r="S404"/>
      <c r="T404"/>
      <c r="U404"/>
      <c r="V404"/>
      <c r="W404" s="30" t="s">
        <v>164</v>
      </c>
      <c r="X404" s="30"/>
      <c r="Y404" s="30"/>
      <c r="Z404" s="30"/>
      <c r="AA404" s="30"/>
      <c r="AB404" s="30"/>
      <c r="AC404" s="30"/>
    </row>
    <row r="405" spans="2:29">
      <c r="B405" s="44" t="s">
        <v>652</v>
      </c>
      <c r="C405" s="46"/>
      <c r="D405" s="31" t="str">
        <f ca="1">IF($A$4="平日","6:27","8:32")</f>
        <v>6:27</v>
      </c>
      <c r="E405" s="31" t="str">
        <f ca="1">IF($A$4="平日","6:27","8:32")</f>
        <v>6:27</v>
      </c>
      <c r="F405" s="31" t="str">
        <f ca="1">IF($A$4="平日","17:56","17:56")</f>
        <v>17:56</v>
      </c>
      <c r="G405" s="31" t="str">
        <f ca="1">IF($A$4="平日","17:56","17:56")</f>
        <v>17:56</v>
      </c>
      <c r="H405" s="30" t="s">
        <v>29</v>
      </c>
      <c r="I405" s="31" t="str">
        <f ca="1">IF($A$4="平日","6:42","8:47")</f>
        <v>6:42</v>
      </c>
      <c r="J405" s="30" t="s">
        <v>29</v>
      </c>
      <c r="K405" s="31" t="str">
        <f ca="1">IF($A$4="平日","17:46","17:46")</f>
        <v>17:46</v>
      </c>
      <c r="L405" s="30" t="str">
        <f ca="1">IF($A$4="平日","1031     1037     1038","1038     1037")</f>
        <v>1031     1037     1038</v>
      </c>
      <c r="M405" s="31" t="str">
        <f ca="1">IF($A$4="平日","6:55","9:00")</f>
        <v>6:55</v>
      </c>
      <c r="N405" s="31" t="str">
        <f ca="1">IF($A$4="平日","17:45","17:35")</f>
        <v>17:45</v>
      </c>
      <c r="O405" s="31" t="str">
        <f ca="1">IF($A$4="平日","7:38","6:20")</f>
        <v>7:38</v>
      </c>
      <c r="P405" s="39">
        <f ca="1">IF($A$4="平日",93.2,78.2)</f>
        <v>93.2</v>
      </c>
      <c r="Q405" s="31" t="str">
        <f ca="1">IF($A$4="平日","8:19","7:04")</f>
        <v>8:19</v>
      </c>
      <c r="R405" s="37"/>
      <c r="S405"/>
      <c r="T405"/>
      <c r="U405"/>
      <c r="V405"/>
      <c r="W405" s="30" t="s">
        <v>164</v>
      </c>
      <c r="X405" s="30"/>
      <c r="Y405" s="30"/>
      <c r="Z405" s="30"/>
      <c r="AA405" s="30"/>
      <c r="AB405" s="30"/>
      <c r="AC405" s="30"/>
    </row>
    <row r="406" spans="2:29">
      <c r="B406" s="44" t="s">
        <v>643</v>
      </c>
      <c r="C406" s="46"/>
      <c r="D406" s="31">
        <v>0.33263888888888887</v>
      </c>
      <c r="E406" s="31">
        <v>0.33263888888888887</v>
      </c>
      <c r="F406" s="31">
        <v>0.9243055555555556</v>
      </c>
      <c r="G406" s="31">
        <v>0.9243055555555556</v>
      </c>
      <c r="H406" s="30" t="s">
        <v>29</v>
      </c>
      <c r="I406" s="31">
        <v>0.34305555555555556</v>
      </c>
      <c r="J406" s="30" t="s">
        <v>29</v>
      </c>
      <c r="K406" s="31">
        <v>0.91736111111111107</v>
      </c>
      <c r="L406" s="30">
        <v>1085</v>
      </c>
      <c r="M406" s="31">
        <v>0.35208333333333336</v>
      </c>
      <c r="N406" s="31">
        <v>0.91041666666666665</v>
      </c>
      <c r="O406" s="31">
        <v>0.31180555555555556</v>
      </c>
      <c r="P406" s="39">
        <v>115.4</v>
      </c>
      <c r="Q406" s="31">
        <v>0.34583333333333333</v>
      </c>
      <c r="R406" s="37"/>
      <c r="S406"/>
      <c r="T406"/>
      <c r="U406"/>
      <c r="V406"/>
      <c r="W406" s="30" t="s">
        <v>164</v>
      </c>
      <c r="X406" s="30"/>
      <c r="Y406" s="30"/>
      <c r="Z406" s="30"/>
      <c r="AA406" s="30"/>
      <c r="AB406" s="30"/>
      <c r="AC406" s="30"/>
    </row>
    <row r="407" spans="2:29">
      <c r="B407" s="97"/>
      <c r="C407" s="26"/>
      <c r="D407" s="31"/>
      <c r="E407" s="31"/>
      <c r="F407" s="31"/>
      <c r="G407" s="31"/>
      <c r="H407" s="30"/>
      <c r="I407" s="31"/>
      <c r="J407" s="30"/>
      <c r="K407" s="31"/>
      <c r="L407" s="31"/>
      <c r="M407" s="31"/>
      <c r="N407" s="31"/>
      <c r="O407" s="31"/>
      <c r="P407" s="39"/>
      <c r="Q407" s="31"/>
      <c r="R407" s="37"/>
      <c r="S407"/>
      <c r="T407"/>
      <c r="U407"/>
      <c r="V407"/>
      <c r="W407"/>
      <c r="X407"/>
      <c r="Y407"/>
      <c r="Z407"/>
      <c r="AA407"/>
      <c r="AB407"/>
      <c r="AC407"/>
    </row>
    <row r="408" spans="2:29">
      <c r="B408" s="140" t="s">
        <v>629</v>
      </c>
      <c r="D408" s="36">
        <v>0.22430555555555556</v>
      </c>
      <c r="E408" s="36">
        <v>0.22430555555555556</v>
      </c>
      <c r="F408" s="36">
        <v>0.33680555555555558</v>
      </c>
      <c r="G408" s="36">
        <v>0.33680555555555558</v>
      </c>
      <c r="H408" s="30" t="s">
        <v>29</v>
      </c>
      <c r="I408" s="37">
        <v>0.23472222222222222</v>
      </c>
      <c r="J408" s="30" t="s">
        <v>29</v>
      </c>
      <c r="K408" s="36">
        <v>0.3298611111111111</v>
      </c>
      <c r="L408" s="28" t="s">
        <v>196</v>
      </c>
      <c r="M408" s="36">
        <v>0.24166666666666667</v>
      </c>
      <c r="N408" s="37">
        <v>0.32291666666666669</v>
      </c>
      <c r="O408" s="37">
        <v>7.2222222222222215E-2</v>
      </c>
      <c r="P408" s="39">
        <v>40</v>
      </c>
      <c r="Q408" s="36">
        <v>9.5138888888888884E-2</v>
      </c>
      <c r="R408" s="37"/>
      <c r="S408"/>
      <c r="T408"/>
      <c r="U408"/>
      <c r="V408"/>
      <c r="W408" s="30" t="s">
        <v>91</v>
      </c>
      <c r="X408" s="30"/>
      <c r="Y408" s="30"/>
      <c r="Z408" s="30"/>
      <c r="AA408" s="30"/>
      <c r="AB408" s="30"/>
      <c r="AC408" s="30"/>
    </row>
    <row r="409" spans="2:29">
      <c r="B409" s="140" t="s">
        <v>630</v>
      </c>
      <c r="D409" s="36">
        <v>0.22430555555555556</v>
      </c>
      <c r="E409" s="36">
        <v>0.22430555555555556</v>
      </c>
      <c r="F409" s="36">
        <v>0.40138888888888891</v>
      </c>
      <c r="G409" s="36">
        <v>0.40138888888888891</v>
      </c>
      <c r="H409" s="30" t="s">
        <v>29</v>
      </c>
      <c r="I409" s="37">
        <v>0.23472222222222222</v>
      </c>
      <c r="J409" s="31" t="s">
        <v>377</v>
      </c>
      <c r="K409" s="36">
        <v>0.39444444444444443</v>
      </c>
      <c r="L409" s="28"/>
      <c r="M409" s="36">
        <v>0.24166666666666667</v>
      </c>
      <c r="N409" s="37">
        <v>0.3888888888888889</v>
      </c>
      <c r="O409" s="37">
        <v>7.2916666666666671E-2</v>
      </c>
      <c r="P409" s="39">
        <v>38.5</v>
      </c>
      <c r="Q409" s="36">
        <v>0.15486111111111112</v>
      </c>
      <c r="R409" s="37"/>
      <c r="S409"/>
      <c r="T409"/>
      <c r="U409"/>
      <c r="V409"/>
      <c r="W409" s="30" t="s">
        <v>91</v>
      </c>
      <c r="X409" s="30"/>
      <c r="Y409" s="30"/>
      <c r="Z409" s="30"/>
      <c r="AA409" s="30"/>
      <c r="AB409" s="30"/>
      <c r="AC409" s="30"/>
    </row>
    <row r="410" spans="2:29">
      <c r="B410" s="140" t="s">
        <v>673</v>
      </c>
      <c r="D410" s="36">
        <v>0.38750000000000001</v>
      </c>
      <c r="E410" s="36">
        <v>0.38750000000000001</v>
      </c>
      <c r="F410" s="36">
        <v>0.50902777777777775</v>
      </c>
      <c r="G410" s="36">
        <v>0.50902777777777775</v>
      </c>
      <c r="H410" s="31" t="str">
        <f ca="1">IF($A$4="平日","本    社","北    浜")</f>
        <v>本    社</v>
      </c>
      <c r="I410" s="37">
        <v>0.39444444444444443</v>
      </c>
      <c r="J410" s="30" t="s">
        <v>29</v>
      </c>
      <c r="K410" s="36">
        <v>0.50208333333333333</v>
      </c>
      <c r="L410" s="28" t="s">
        <v>196</v>
      </c>
      <c r="M410" s="36">
        <v>0.40138888888888891</v>
      </c>
      <c r="N410" s="37">
        <v>0.49652777777777779</v>
      </c>
      <c r="O410" s="31" t="str">
        <f ca="1">IF($A$4="平日","2:04","1:57")</f>
        <v>2:04</v>
      </c>
      <c r="P410" s="39">
        <f ca="1">IF($A$4="平日",41.2,38.7)</f>
        <v>41.2</v>
      </c>
      <c r="Q410" s="31" t="str">
        <f ca="1">IF($A$4="平日","2:35","2:28")</f>
        <v>2:35</v>
      </c>
      <c r="R410" s="37"/>
      <c r="S410"/>
      <c r="T410"/>
      <c r="U410"/>
      <c r="V410"/>
      <c r="W410" s="30" t="s">
        <v>91</v>
      </c>
      <c r="X410" s="30"/>
      <c r="Y410" s="30"/>
      <c r="Z410" s="30"/>
      <c r="AA410" s="30"/>
      <c r="AB410" s="30"/>
      <c r="AC410" s="30"/>
    </row>
    <row r="411" spans="2:29">
      <c r="B411" s="140" t="s">
        <v>631</v>
      </c>
      <c r="D411" s="36">
        <v>0.54374999999999996</v>
      </c>
      <c r="E411" s="36">
        <v>0.54374999999999996</v>
      </c>
      <c r="F411" s="36">
        <v>0.65833333333333333</v>
      </c>
      <c r="G411" s="36">
        <v>0.65833333333333333</v>
      </c>
      <c r="H411" s="30" t="s">
        <v>29</v>
      </c>
      <c r="I411" s="37">
        <v>0.55069444444444449</v>
      </c>
      <c r="J411" s="30" t="s">
        <v>29</v>
      </c>
      <c r="K411" s="36">
        <v>0.65138888888888891</v>
      </c>
      <c r="L411" s="28" t="s">
        <v>196</v>
      </c>
      <c r="M411" s="36">
        <v>0.55763888888888891</v>
      </c>
      <c r="N411" s="37">
        <v>0.64583333333333337</v>
      </c>
      <c r="O411" s="37">
        <v>8.4722222222222227E-2</v>
      </c>
      <c r="P411" s="39">
        <v>41.2</v>
      </c>
      <c r="Q411" s="36">
        <v>0.10069444444444445</v>
      </c>
      <c r="R411" s="37"/>
      <c r="S411"/>
      <c r="T411"/>
      <c r="U411"/>
      <c r="V411"/>
      <c r="W411" s="30" t="s">
        <v>91</v>
      </c>
      <c r="X411" s="30"/>
      <c r="Y411" s="30"/>
      <c r="Z411" s="30"/>
      <c r="AA411" s="30"/>
      <c r="AB411" s="30"/>
      <c r="AC411" s="30"/>
    </row>
    <row r="412" spans="2:29">
      <c r="B412" s="140" t="s">
        <v>632</v>
      </c>
      <c r="D412" s="36">
        <v>0.72222222222222221</v>
      </c>
      <c r="E412" s="36">
        <v>0.72222222222222221</v>
      </c>
      <c r="F412" s="36">
        <v>0.84930555555555554</v>
      </c>
      <c r="G412" s="36">
        <v>0.84930555555555554</v>
      </c>
      <c r="H412" s="30" t="s">
        <v>29</v>
      </c>
      <c r="I412" s="37">
        <v>0.72916666666666663</v>
      </c>
      <c r="J412" s="30" t="s">
        <v>29</v>
      </c>
      <c r="K412" s="36">
        <v>0.84236111111111112</v>
      </c>
      <c r="L412" s="28" t="s">
        <v>196</v>
      </c>
      <c r="M412" s="36">
        <v>0.73611111111111116</v>
      </c>
      <c r="N412" s="37">
        <v>0.8354166666666667</v>
      </c>
      <c r="O412" s="37">
        <v>8.9583333333333334E-2</v>
      </c>
      <c r="P412" s="39">
        <v>41.2</v>
      </c>
      <c r="Q412" s="36">
        <v>0.11319444444444444</v>
      </c>
      <c r="R412" s="37"/>
      <c r="S412"/>
      <c r="T412"/>
      <c r="U412"/>
      <c r="V412"/>
      <c r="W412" s="30" t="s">
        <v>91</v>
      </c>
      <c r="X412" s="30"/>
      <c r="Y412" s="30"/>
      <c r="Z412" s="30"/>
      <c r="AA412" s="30"/>
      <c r="AB412" s="30"/>
      <c r="AC412" s="30"/>
    </row>
    <row r="413" spans="2:29">
      <c r="B413" s="140" t="s">
        <v>408</v>
      </c>
      <c r="C413" s="46"/>
      <c r="D413" s="36">
        <v>0.22430555555555556</v>
      </c>
      <c r="E413" s="36">
        <v>0.22430555555555556</v>
      </c>
      <c r="F413" s="36">
        <v>0.84930555555555554</v>
      </c>
      <c r="G413" s="36">
        <v>0.84930555555555554</v>
      </c>
      <c r="H413" s="30" t="s">
        <v>29</v>
      </c>
      <c r="I413" s="37">
        <v>0.23472222222222222</v>
      </c>
      <c r="J413" s="30" t="s">
        <v>29</v>
      </c>
      <c r="K413" s="36">
        <v>0.84236111111111112</v>
      </c>
      <c r="L413" s="28" t="s">
        <v>196</v>
      </c>
      <c r="M413" s="36">
        <v>0.24166666666666667</v>
      </c>
      <c r="N413" s="37">
        <v>0.8354166666666667</v>
      </c>
      <c r="O413" s="31" t="str">
        <f ca="1">IF($A$4="平日","7:59","7:53")</f>
        <v>7:59</v>
      </c>
      <c r="P413" s="39">
        <f ca="1">IF($A$4="平日",165.3,161.4)</f>
        <v>165.3</v>
      </c>
      <c r="Q413" s="31" t="str">
        <f ca="1">IF($A$4="平日","10:25","11:44")</f>
        <v>10:25</v>
      </c>
      <c r="R413" s="37"/>
      <c r="S413"/>
      <c r="T413"/>
      <c r="U413"/>
      <c r="V413"/>
      <c r="W413" s="30" t="s">
        <v>91</v>
      </c>
      <c r="X413" s="30"/>
      <c r="Y413" s="30"/>
      <c r="Z413" s="30"/>
      <c r="AA413" s="30"/>
      <c r="AB413" s="30"/>
      <c r="AC413" s="30"/>
    </row>
    <row r="414" spans="2:29">
      <c r="B414" s="15"/>
      <c r="H414" s="30"/>
      <c r="K414" s="36"/>
      <c r="P414"/>
      <c r="Q414"/>
      <c r="R414" s="37"/>
      <c r="S414"/>
      <c r="T414"/>
      <c r="U414"/>
      <c r="V414"/>
      <c r="W414"/>
      <c r="X414"/>
      <c r="Y414"/>
      <c r="Z414"/>
      <c r="AA414"/>
      <c r="AB414"/>
      <c r="AC414"/>
    </row>
    <row r="415" spans="2:29">
      <c r="B415" s="140" t="s">
        <v>633</v>
      </c>
      <c r="D415" s="36">
        <v>0.4597222222222222</v>
      </c>
      <c r="E415" s="36">
        <v>0.4597222222222222</v>
      </c>
      <c r="F415" s="145">
        <v>0.58194444444444449</v>
      </c>
      <c r="G415" s="145">
        <v>0.58194444444444449</v>
      </c>
      <c r="H415" s="30" t="s">
        <v>29</v>
      </c>
      <c r="I415" s="37">
        <v>0.47013888888888888</v>
      </c>
      <c r="J415" s="30" t="s">
        <v>29</v>
      </c>
      <c r="K415" s="145">
        <v>0.57499999999999996</v>
      </c>
      <c r="L415" s="28" t="s">
        <v>196</v>
      </c>
      <c r="M415" s="36">
        <v>0.47708333333333336</v>
      </c>
      <c r="N415" s="145">
        <v>0.56944444444444442</v>
      </c>
      <c r="O415" s="145">
        <v>8.4722222222222227E-2</v>
      </c>
      <c r="P415" s="39">
        <v>41.2</v>
      </c>
      <c r="Q415" s="145">
        <v>0.10486111111111111</v>
      </c>
      <c r="R415" s="37"/>
      <c r="S415"/>
      <c r="T415"/>
      <c r="U415"/>
      <c r="V415"/>
      <c r="W415" s="30" t="s">
        <v>91</v>
      </c>
      <c r="X415" s="30"/>
      <c r="Y415" s="30"/>
      <c r="Z415" s="30"/>
      <c r="AA415" s="30"/>
      <c r="AB415" s="30"/>
      <c r="AC415" s="30"/>
    </row>
    <row r="416" spans="2:29">
      <c r="B416" s="140" t="s">
        <v>674</v>
      </c>
      <c r="D416" s="36">
        <v>0.62152777777777779</v>
      </c>
      <c r="E416" s="36">
        <v>0.62152777777777779</v>
      </c>
      <c r="F416" s="145">
        <v>0.74513888888888891</v>
      </c>
      <c r="G416" s="145">
        <v>0.74513888888888891</v>
      </c>
      <c r="H416" s="30" t="s">
        <v>29</v>
      </c>
      <c r="I416" s="37">
        <v>0.62847222222222221</v>
      </c>
      <c r="J416" s="30" t="s">
        <v>29</v>
      </c>
      <c r="K416" s="145">
        <v>0.73819444444444449</v>
      </c>
      <c r="L416" s="28" t="s">
        <v>196</v>
      </c>
      <c r="M416" s="36">
        <v>0.63541666666666663</v>
      </c>
      <c r="N416" s="145">
        <v>0.73124999999999996</v>
      </c>
      <c r="O416" s="145">
        <v>8.4722222222222227E-2</v>
      </c>
      <c r="P416" s="39">
        <v>41.2</v>
      </c>
      <c r="Q416" s="145">
        <v>0.10972222222222222</v>
      </c>
      <c r="R416" s="37"/>
      <c r="S416"/>
      <c r="T416"/>
      <c r="U416"/>
      <c r="V416"/>
      <c r="W416" s="30" t="s">
        <v>91</v>
      </c>
      <c r="X416" s="30"/>
      <c r="Y416" s="30"/>
      <c r="Z416" s="30"/>
      <c r="AA416" s="30"/>
      <c r="AB416" s="30"/>
      <c r="AC416" s="30"/>
    </row>
    <row r="417" spans="2:29">
      <c r="B417" s="140" t="s">
        <v>662</v>
      </c>
      <c r="D417" s="36">
        <v>0.80902777777777779</v>
      </c>
      <c r="E417" s="36">
        <v>0.80902777777777779</v>
      </c>
      <c r="F417" s="36">
        <v>0.95486111111111116</v>
      </c>
      <c r="G417" s="36">
        <v>0.95486111111111116</v>
      </c>
      <c r="H417" s="30" t="s">
        <v>29</v>
      </c>
      <c r="I417" s="37">
        <v>0.81597222222222221</v>
      </c>
      <c r="J417" s="30" t="s">
        <v>29</v>
      </c>
      <c r="K417" s="36">
        <v>0.94791666666666663</v>
      </c>
      <c r="L417" s="28" t="s">
        <v>196</v>
      </c>
      <c r="M417" s="36">
        <v>0.82291666666666663</v>
      </c>
      <c r="N417" s="37">
        <v>0.94097222222222221</v>
      </c>
      <c r="O417" s="37">
        <v>7.4999999999999997E-2</v>
      </c>
      <c r="P417" s="39">
        <v>40.799999999999997</v>
      </c>
      <c r="Q417" s="36">
        <v>0.13194444444444445</v>
      </c>
      <c r="R417" s="37"/>
      <c r="S417"/>
      <c r="T417"/>
      <c r="U417"/>
      <c r="V417"/>
      <c r="W417" s="30" t="s">
        <v>91</v>
      </c>
      <c r="X417" s="30"/>
      <c r="Y417" s="30"/>
      <c r="Z417" s="30"/>
      <c r="AA417" s="30"/>
      <c r="AB417" s="30"/>
      <c r="AC417" s="30"/>
    </row>
    <row r="418" spans="2:29">
      <c r="B418" s="140" t="s">
        <v>663</v>
      </c>
      <c r="D418" s="36">
        <v>0.85763888888888884</v>
      </c>
      <c r="E418" s="36">
        <v>0.85763888888888884</v>
      </c>
      <c r="F418" s="36">
        <v>0.95486111111111116</v>
      </c>
      <c r="G418" s="36">
        <v>0.95486111111111116</v>
      </c>
      <c r="H418" s="30" t="s">
        <v>29</v>
      </c>
      <c r="I418" s="37">
        <v>0.86458333333333337</v>
      </c>
      <c r="J418" s="30" t="s">
        <v>29</v>
      </c>
      <c r="K418" s="36">
        <v>0.94791666666666663</v>
      </c>
      <c r="L418" s="28" t="s">
        <v>196</v>
      </c>
      <c r="M418" s="36">
        <v>0.86458333333333337</v>
      </c>
      <c r="N418" s="37">
        <v>0.94097222222222221</v>
      </c>
      <c r="O418" s="37">
        <v>7.1527777777777773E-2</v>
      </c>
      <c r="P418" s="39">
        <v>39.1</v>
      </c>
      <c r="Q418" s="36">
        <v>8.3333333333333329E-2</v>
      </c>
      <c r="R418" s="37"/>
      <c r="S418"/>
      <c r="T418"/>
      <c r="U418"/>
      <c r="V418"/>
      <c r="W418" s="30" t="s">
        <v>91</v>
      </c>
      <c r="X418" s="30"/>
      <c r="Y418" s="30"/>
      <c r="Z418" s="30"/>
      <c r="AA418" s="30"/>
      <c r="AB418" s="30"/>
      <c r="AC418" s="30"/>
    </row>
    <row r="419" spans="2:29">
      <c r="B419" s="140" t="s">
        <v>382</v>
      </c>
      <c r="C419" s="46"/>
      <c r="D419" s="31">
        <v>0.4597222222222222</v>
      </c>
      <c r="E419" s="31">
        <v>0.4597222222222222</v>
      </c>
      <c r="F419" s="36">
        <v>0.95486111111111116</v>
      </c>
      <c r="G419" s="36">
        <v>0.95486111111111116</v>
      </c>
      <c r="H419" s="30" t="s">
        <v>29</v>
      </c>
      <c r="I419" s="31">
        <v>0.47013888888888888</v>
      </c>
      <c r="J419" s="30" t="s">
        <v>29</v>
      </c>
      <c r="K419" s="36">
        <v>0.94791666666666663</v>
      </c>
      <c r="L419" s="28" t="s">
        <v>196</v>
      </c>
      <c r="M419" s="31">
        <v>0.47708333333333336</v>
      </c>
      <c r="N419" s="37">
        <v>0.94097222222222221</v>
      </c>
      <c r="O419" s="31" t="str">
        <f ca="1">IF($A$4="平日","5:52","5:47")</f>
        <v>5:52</v>
      </c>
      <c r="P419" s="39">
        <f ca="1">IF($A$4="平日",123.8,122.1)</f>
        <v>123.8</v>
      </c>
      <c r="Q419" s="31" t="str">
        <f ca="1">IF($A$4="平日","8:45","7:34")</f>
        <v>8:45</v>
      </c>
      <c r="R419" s="37"/>
      <c r="S419"/>
      <c r="T419"/>
      <c r="U419"/>
      <c r="V419"/>
      <c r="W419" s="30" t="s">
        <v>91</v>
      </c>
      <c r="X419" s="30"/>
      <c r="Y419" s="30"/>
      <c r="Z419" s="30"/>
      <c r="AA419" s="30"/>
      <c r="AB419" s="30"/>
      <c r="AC419" s="30"/>
    </row>
    <row r="420" spans="2:29">
      <c r="B420" s="15"/>
      <c r="H420" s="30"/>
      <c r="K420" s="36"/>
      <c r="P420"/>
      <c r="Q420"/>
      <c r="R420" s="37"/>
      <c r="S420"/>
      <c r="T420"/>
      <c r="U420"/>
      <c r="V420"/>
      <c r="W420"/>
      <c r="X420"/>
      <c r="Y420"/>
      <c r="Z420"/>
      <c r="AA420"/>
      <c r="AB420"/>
      <c r="AC420"/>
    </row>
    <row r="421" spans="2:29">
      <c r="B421" s="140" t="s">
        <v>664</v>
      </c>
      <c r="D421" s="36">
        <v>0.37986111111111109</v>
      </c>
      <c r="E421" s="36">
        <v>0.37986111111111109</v>
      </c>
      <c r="F421" s="36">
        <v>0.51249999999999996</v>
      </c>
      <c r="G421" s="36">
        <v>0.51249999999999996</v>
      </c>
      <c r="H421" s="30" t="s">
        <v>29</v>
      </c>
      <c r="I421" s="37">
        <v>0.39027777777777778</v>
      </c>
      <c r="J421" s="30" t="s">
        <v>29</v>
      </c>
      <c r="K421" s="36">
        <v>0.50555555555555554</v>
      </c>
      <c r="L421" s="28" t="s">
        <v>196</v>
      </c>
      <c r="M421" s="36">
        <v>0.3972222222222222</v>
      </c>
      <c r="N421" s="37">
        <v>0.5</v>
      </c>
      <c r="O421" s="31">
        <v>8.4722222222222227E-2</v>
      </c>
      <c r="P421" s="39">
        <v>41.2</v>
      </c>
      <c r="Q421" s="31">
        <v>0.11527777777777778</v>
      </c>
      <c r="R421" s="37"/>
      <c r="S421"/>
      <c r="T421"/>
      <c r="U421"/>
      <c r="V421"/>
      <c r="W421" s="30" t="s">
        <v>91</v>
      </c>
      <c r="X421" s="30"/>
      <c r="Y421" s="30"/>
      <c r="Z421" s="30"/>
      <c r="AA421" s="30"/>
      <c r="AB421" s="30"/>
      <c r="AC421" s="30"/>
    </row>
    <row r="422" spans="2:29">
      <c r="B422" s="140" t="s">
        <v>634</v>
      </c>
      <c r="D422" s="36">
        <v>0.54583333333333328</v>
      </c>
      <c r="E422" s="36">
        <v>0.54583333333333328</v>
      </c>
      <c r="F422" s="36">
        <v>0.66180555555555554</v>
      </c>
      <c r="G422" s="36">
        <v>0.66180555555555554</v>
      </c>
      <c r="H422" s="30" t="s">
        <v>29</v>
      </c>
      <c r="I422" s="37">
        <v>0.55277777777777781</v>
      </c>
      <c r="J422" s="30" t="s">
        <v>29</v>
      </c>
      <c r="K422" s="36">
        <v>0.65486111111111112</v>
      </c>
      <c r="L422" s="28" t="s">
        <v>196</v>
      </c>
      <c r="M422" s="36">
        <v>0.55972222222222223</v>
      </c>
      <c r="N422" s="37">
        <v>0.64930555555555558</v>
      </c>
      <c r="O422" s="37">
        <v>8.611111111111111E-2</v>
      </c>
      <c r="P422" s="39">
        <v>42</v>
      </c>
      <c r="Q422" s="36">
        <v>0.10208333333333333</v>
      </c>
      <c r="R422" s="37"/>
      <c r="S422"/>
      <c r="T422"/>
      <c r="U422"/>
      <c r="V422"/>
      <c r="W422" s="30" t="s">
        <v>91</v>
      </c>
      <c r="X422" s="30"/>
      <c r="Y422" s="30"/>
      <c r="Z422" s="30"/>
      <c r="AA422" s="30"/>
      <c r="AB422" s="30"/>
      <c r="AC422" s="30"/>
    </row>
    <row r="423" spans="2:29">
      <c r="B423" s="140" t="s">
        <v>635</v>
      </c>
      <c r="D423" s="36">
        <v>0.72430555555555554</v>
      </c>
      <c r="E423" s="36">
        <v>0.72430555555555554</v>
      </c>
      <c r="F423" s="36">
        <v>0.84930555555555554</v>
      </c>
      <c r="G423" s="36">
        <v>0.84930555555555554</v>
      </c>
      <c r="H423" s="30" t="s">
        <v>29</v>
      </c>
      <c r="I423" s="37">
        <v>0.73124999999999996</v>
      </c>
      <c r="J423" s="30" t="s">
        <v>29</v>
      </c>
      <c r="K423" s="36">
        <v>0.84236111111111112</v>
      </c>
      <c r="L423" s="28" t="s">
        <v>196</v>
      </c>
      <c r="M423" s="36">
        <v>0.73819444444444449</v>
      </c>
      <c r="N423" s="37">
        <v>0.8354166666666667</v>
      </c>
      <c r="O423" s="37">
        <v>8.9583333333333334E-2</v>
      </c>
      <c r="P423" s="39">
        <v>41.2</v>
      </c>
      <c r="Q423" s="36">
        <v>0.1111111111111111</v>
      </c>
      <c r="R423" s="37"/>
      <c r="S423"/>
      <c r="T423"/>
      <c r="U423"/>
      <c r="V423"/>
      <c r="W423" s="30" t="s">
        <v>91</v>
      </c>
      <c r="X423" s="30"/>
      <c r="Y423" s="30"/>
      <c r="Z423" s="30"/>
      <c r="AA423" s="30"/>
      <c r="AB423" s="30"/>
      <c r="AC423" s="30"/>
    </row>
    <row r="424" spans="2:29">
      <c r="B424" s="140" t="s">
        <v>381</v>
      </c>
      <c r="C424" s="46"/>
      <c r="D424" s="36">
        <v>0.37986111111111109</v>
      </c>
      <c r="E424" s="36">
        <v>0.37986111111111109</v>
      </c>
      <c r="F424" s="36">
        <v>0.84930555555555554</v>
      </c>
      <c r="G424" s="36">
        <v>0.84930555555555554</v>
      </c>
      <c r="H424" s="30" t="s">
        <v>29</v>
      </c>
      <c r="I424" s="37">
        <v>0.39027777777777778</v>
      </c>
      <c r="J424" s="30" t="s">
        <v>29</v>
      </c>
      <c r="K424" s="36">
        <v>0.84236111111111112</v>
      </c>
      <c r="L424" s="28" t="s">
        <v>196</v>
      </c>
      <c r="M424" s="36">
        <v>0.3972222222222222</v>
      </c>
      <c r="N424" s="37">
        <v>0.8354166666666667</v>
      </c>
      <c r="O424" s="31">
        <v>0.26041666666666669</v>
      </c>
      <c r="P424" s="39">
        <v>125.3</v>
      </c>
      <c r="Q424" s="31">
        <v>0.34583333333333333</v>
      </c>
      <c r="R424" s="37"/>
      <c r="S424"/>
      <c r="T424"/>
      <c r="U424"/>
      <c r="V424"/>
      <c r="W424" s="30" t="s">
        <v>91</v>
      </c>
      <c r="X424" s="30"/>
      <c r="Y424" s="30"/>
      <c r="Z424" s="30"/>
      <c r="AA424" s="30"/>
      <c r="AB424" s="30"/>
      <c r="AC424" s="30"/>
    </row>
    <row r="425" spans="2:29">
      <c r="B425" s="15"/>
      <c r="H425" s="30"/>
      <c r="K425" s="36"/>
      <c r="P425"/>
      <c r="Q425"/>
      <c r="R425" s="37"/>
      <c r="S425"/>
      <c r="T425"/>
      <c r="U425"/>
      <c r="V425"/>
      <c r="W425"/>
      <c r="X425"/>
      <c r="Y425"/>
      <c r="Z425"/>
      <c r="AA425"/>
      <c r="AB425"/>
      <c r="AC425"/>
    </row>
    <row r="426" spans="2:29">
      <c r="B426" s="140" t="s">
        <v>675</v>
      </c>
      <c r="D426" s="36">
        <v>0.31458333333333333</v>
      </c>
      <c r="E426" s="36">
        <v>0.31458333333333333</v>
      </c>
      <c r="F426" s="36">
        <v>0.43958333333333333</v>
      </c>
      <c r="G426" s="36">
        <v>0.43958333333333333</v>
      </c>
      <c r="H426" s="30" t="s">
        <v>29</v>
      </c>
      <c r="I426" s="37">
        <v>0.32500000000000001</v>
      </c>
      <c r="J426" s="30" t="s">
        <v>29</v>
      </c>
      <c r="K426" s="36">
        <v>0.43263888888888891</v>
      </c>
      <c r="L426" s="28" t="s">
        <v>196</v>
      </c>
      <c r="M426" s="36">
        <v>0.33194444444444443</v>
      </c>
      <c r="N426" s="37">
        <v>0.42708333333333331</v>
      </c>
      <c r="O426" s="37">
        <v>8.611111111111111E-2</v>
      </c>
      <c r="P426" s="39">
        <v>42</v>
      </c>
      <c r="Q426" s="36">
        <v>0.1076388888888889</v>
      </c>
      <c r="R426" s="37"/>
      <c r="S426"/>
      <c r="T426"/>
      <c r="U426"/>
      <c r="V426"/>
      <c r="W426" s="30" t="s">
        <v>91</v>
      </c>
      <c r="X426" s="30"/>
      <c r="Y426" s="30"/>
      <c r="Z426" s="30"/>
      <c r="AA426" s="30"/>
      <c r="AB426" s="30"/>
      <c r="AC426" s="30"/>
    </row>
    <row r="427" spans="2:29">
      <c r="B427" s="140" t="s">
        <v>576</v>
      </c>
      <c r="D427" s="36">
        <v>0.46527777777777779</v>
      </c>
      <c r="E427" s="36">
        <v>0.46527777777777779</v>
      </c>
      <c r="F427" s="36">
        <v>0.59583333333333333</v>
      </c>
      <c r="G427" s="36">
        <v>0.59583333333333333</v>
      </c>
      <c r="H427" s="30" t="s">
        <v>29</v>
      </c>
      <c r="I427" s="37">
        <v>0.47222222222222221</v>
      </c>
      <c r="J427" s="30" t="s">
        <v>29</v>
      </c>
      <c r="K427" s="36">
        <v>0.58888888888888891</v>
      </c>
      <c r="L427" s="28" t="s">
        <v>196</v>
      </c>
      <c r="M427" s="36">
        <v>0.47916666666666669</v>
      </c>
      <c r="N427" s="37">
        <v>0.58333333333333337</v>
      </c>
      <c r="O427" s="37">
        <v>8.4722222222222227E-2</v>
      </c>
      <c r="P427" s="39">
        <v>41.2</v>
      </c>
      <c r="Q427" s="36">
        <v>0.11666666666666667</v>
      </c>
      <c r="R427" s="37"/>
      <c r="S427"/>
      <c r="T427"/>
      <c r="U427"/>
      <c r="V427"/>
      <c r="W427" s="30" t="s">
        <v>91</v>
      </c>
      <c r="X427" s="30"/>
      <c r="Y427" s="30"/>
      <c r="Z427" s="30"/>
      <c r="AA427" s="30"/>
      <c r="AB427" s="30"/>
      <c r="AC427" s="30"/>
    </row>
    <row r="428" spans="2:29">
      <c r="B428" s="140" t="s">
        <v>676</v>
      </c>
      <c r="D428" s="36">
        <v>0.61944444444444446</v>
      </c>
      <c r="E428" s="36">
        <v>0.61944444444444446</v>
      </c>
      <c r="F428" s="145">
        <v>0.74513888888888891</v>
      </c>
      <c r="G428" s="145">
        <v>0.74513888888888891</v>
      </c>
      <c r="H428" s="30" t="s">
        <v>29</v>
      </c>
      <c r="I428" s="37">
        <v>0.62638888888888888</v>
      </c>
      <c r="J428" s="30" t="s">
        <v>29</v>
      </c>
      <c r="K428" s="145">
        <v>0.73819444444444449</v>
      </c>
      <c r="L428" s="28" t="s">
        <v>196</v>
      </c>
      <c r="M428" s="36">
        <v>0.6333333333333333</v>
      </c>
      <c r="N428" s="145">
        <v>0.73472222222222228</v>
      </c>
      <c r="O428" s="37">
        <v>8.4722222222222227E-2</v>
      </c>
      <c r="P428" s="39">
        <v>41.2</v>
      </c>
      <c r="Q428" s="36">
        <v>0.11180555555555556</v>
      </c>
      <c r="R428" s="37"/>
      <c r="S428"/>
      <c r="T428"/>
      <c r="U428"/>
      <c r="V428"/>
      <c r="W428" s="30" t="s">
        <v>91</v>
      </c>
      <c r="X428" s="30"/>
      <c r="Y428" s="30"/>
      <c r="Z428" s="30"/>
      <c r="AA428" s="30"/>
      <c r="AB428" s="30"/>
      <c r="AC428" s="30"/>
    </row>
    <row r="429" spans="2:29">
      <c r="B429" s="140" t="s">
        <v>636</v>
      </c>
      <c r="D429" s="36">
        <v>0.78819444444444442</v>
      </c>
      <c r="E429" s="36">
        <v>0.78819444444444442</v>
      </c>
      <c r="F429" s="36">
        <v>0.88541666666666663</v>
      </c>
      <c r="G429" s="36">
        <v>0.88541666666666663</v>
      </c>
      <c r="H429" s="30" t="s">
        <v>29</v>
      </c>
      <c r="I429" s="37">
        <v>0.79513888888888884</v>
      </c>
      <c r="J429" s="30" t="s">
        <v>29</v>
      </c>
      <c r="K429" s="36">
        <v>0.87847222222222221</v>
      </c>
      <c r="L429" s="28" t="s">
        <v>196</v>
      </c>
      <c r="M429" s="36">
        <v>0.79513888888888884</v>
      </c>
      <c r="N429" s="37">
        <v>0.87152777777777779</v>
      </c>
      <c r="O429" s="37">
        <v>7.1527777777777773E-2</v>
      </c>
      <c r="P429" s="39">
        <v>39.1</v>
      </c>
      <c r="Q429" s="36">
        <v>8.3333333333333329E-2</v>
      </c>
      <c r="R429" s="37"/>
      <c r="S429"/>
      <c r="T429"/>
      <c r="U429"/>
      <c r="V429"/>
      <c r="W429" s="30" t="s">
        <v>91</v>
      </c>
      <c r="X429" s="30"/>
      <c r="Y429" s="30"/>
      <c r="Z429" s="30"/>
      <c r="AA429" s="30"/>
      <c r="AB429" s="30"/>
      <c r="AC429" s="30"/>
    </row>
    <row r="430" spans="2:29">
      <c r="B430" s="140" t="s">
        <v>380</v>
      </c>
      <c r="C430" s="46"/>
      <c r="D430" s="36">
        <v>0.31458333333333333</v>
      </c>
      <c r="E430" s="36">
        <v>0.31458333333333333</v>
      </c>
      <c r="F430" s="36">
        <v>0.88541666666666663</v>
      </c>
      <c r="G430" s="36">
        <v>0.88541666666666663</v>
      </c>
      <c r="H430" s="30" t="s">
        <v>29</v>
      </c>
      <c r="I430" s="37">
        <v>0.32500000000000001</v>
      </c>
      <c r="J430" s="30" t="s">
        <v>29</v>
      </c>
      <c r="K430" s="36">
        <v>0.87847222222222221</v>
      </c>
      <c r="L430" s="28" t="s">
        <v>196</v>
      </c>
      <c r="M430" s="36">
        <v>0.33194444444444443</v>
      </c>
      <c r="N430" s="37">
        <v>0.87152777777777779</v>
      </c>
      <c r="O430" s="37">
        <v>0.32708333333333334</v>
      </c>
      <c r="P430" s="39">
        <v>164.4</v>
      </c>
      <c r="Q430" s="145">
        <v>0.43680555555555556</v>
      </c>
      <c r="R430" s="37"/>
      <c r="S430"/>
      <c r="T430"/>
      <c r="U430"/>
      <c r="V430"/>
      <c r="W430" s="30" t="s">
        <v>91</v>
      </c>
      <c r="X430" s="30"/>
      <c r="Y430" s="30"/>
      <c r="Z430" s="30"/>
      <c r="AA430" s="30"/>
      <c r="AB430" s="30"/>
      <c r="AC430" s="30"/>
    </row>
    <row r="431" spans="2:29">
      <c r="B431" s="15"/>
      <c r="H431" s="30"/>
      <c r="J431" s="30"/>
      <c r="K431" s="36"/>
      <c r="P431"/>
      <c r="Q431"/>
      <c r="R431" s="37"/>
      <c r="S431"/>
      <c r="T431"/>
      <c r="U431"/>
      <c r="V431"/>
      <c r="W431"/>
      <c r="X431"/>
      <c r="Y431"/>
      <c r="Z431"/>
      <c r="AA431"/>
      <c r="AB431"/>
      <c r="AC431"/>
    </row>
    <row r="432" spans="2:29">
      <c r="B432" s="140" t="s">
        <v>379</v>
      </c>
      <c r="C432" s="46"/>
      <c r="D432" s="31">
        <v>0.31041666666666667</v>
      </c>
      <c r="E432" s="31">
        <v>0.31041666666666667</v>
      </c>
      <c r="F432" s="31">
        <v>0.43263888888888891</v>
      </c>
      <c r="G432" s="31">
        <v>0.43263888888888891</v>
      </c>
      <c r="H432" s="30" t="s">
        <v>29</v>
      </c>
      <c r="I432" s="37">
        <v>0.32083333333333336</v>
      </c>
      <c r="J432" s="30" t="s">
        <v>29</v>
      </c>
      <c r="K432" s="31">
        <v>0.42569444444444443</v>
      </c>
      <c r="L432" s="28" t="s">
        <v>196</v>
      </c>
      <c r="M432" s="36">
        <v>0.32777777777777778</v>
      </c>
      <c r="N432" s="31">
        <v>0.4201388888888889</v>
      </c>
      <c r="O432" s="31">
        <v>8.4722222222222227E-2</v>
      </c>
      <c r="P432" s="39">
        <v>41.5</v>
      </c>
      <c r="Q432" s="31">
        <v>0.12222222222222222</v>
      </c>
      <c r="R432" s="39">
        <v>164.4</v>
      </c>
      <c r="S432"/>
      <c r="T432"/>
      <c r="U432"/>
      <c r="V432"/>
      <c r="W432" s="30" t="s">
        <v>91</v>
      </c>
      <c r="X432" s="30"/>
      <c r="Y432" s="30"/>
      <c r="Z432" s="30"/>
      <c r="AA432" s="30"/>
      <c r="AB432" s="30"/>
      <c r="AC432" s="30"/>
    </row>
    <row r="433" spans="2:29">
      <c r="B433" s="15"/>
      <c r="H433" s="30"/>
      <c r="J433" s="30"/>
      <c r="K433" s="36"/>
      <c r="P433"/>
      <c r="Q433"/>
      <c r="R433" s="37"/>
      <c r="S433"/>
      <c r="T433"/>
      <c r="U433"/>
      <c r="V433"/>
      <c r="W433"/>
      <c r="X433"/>
      <c r="Y433"/>
      <c r="Z433"/>
      <c r="AA433"/>
      <c r="AB433"/>
      <c r="AC433"/>
    </row>
    <row r="434" spans="2:29">
      <c r="B434" s="140" t="s">
        <v>637</v>
      </c>
      <c r="D434" s="36">
        <v>0.30833333333333335</v>
      </c>
      <c r="E434" s="36">
        <v>0.30833333333333335</v>
      </c>
      <c r="F434" s="36">
        <v>0.43263888888888891</v>
      </c>
      <c r="G434" s="36">
        <v>0.43263888888888891</v>
      </c>
      <c r="H434" s="30" t="s">
        <v>29</v>
      </c>
      <c r="I434" s="37">
        <v>0.31874999999999998</v>
      </c>
      <c r="J434" s="30" t="s">
        <v>29</v>
      </c>
      <c r="K434" s="36">
        <v>0.42569444444444443</v>
      </c>
      <c r="L434" s="28" t="s">
        <v>196</v>
      </c>
      <c r="M434" s="36">
        <v>0.3298611111111111</v>
      </c>
      <c r="N434" s="37">
        <v>0.4201388888888889</v>
      </c>
      <c r="O434" s="37">
        <v>8.4722222222222227E-2</v>
      </c>
      <c r="P434" s="39">
        <v>41.2</v>
      </c>
      <c r="Q434" s="36">
        <v>0.10694444444444444</v>
      </c>
      <c r="R434" s="37"/>
      <c r="S434"/>
      <c r="T434"/>
      <c r="U434"/>
      <c r="V434"/>
      <c r="W434" s="30" t="s">
        <v>91</v>
      </c>
      <c r="X434" s="30"/>
      <c r="Y434" s="30"/>
      <c r="Z434" s="30"/>
      <c r="AA434" s="30"/>
      <c r="AB434" s="30"/>
      <c r="AC434" s="30"/>
    </row>
    <row r="435" spans="2:29">
      <c r="B435" s="140" t="s">
        <v>577</v>
      </c>
      <c r="D435" s="36">
        <v>0.46736111111111112</v>
      </c>
      <c r="E435" s="36">
        <v>0.46736111111111112</v>
      </c>
      <c r="F435" s="36">
        <v>0.59583333333333333</v>
      </c>
      <c r="G435" s="36">
        <v>0.59583333333333333</v>
      </c>
      <c r="H435" s="30" t="s">
        <v>29</v>
      </c>
      <c r="I435" s="37">
        <v>0.47430555555555554</v>
      </c>
      <c r="J435" s="30" t="s">
        <v>29</v>
      </c>
      <c r="K435" s="36">
        <v>0.58888888888888891</v>
      </c>
      <c r="L435" s="28" t="s">
        <v>196</v>
      </c>
      <c r="M435" s="36">
        <v>0.48125000000000001</v>
      </c>
      <c r="N435" s="37">
        <v>0.58333333333333337</v>
      </c>
      <c r="O435" s="37">
        <v>8.611111111111111E-2</v>
      </c>
      <c r="P435" s="39">
        <v>42</v>
      </c>
      <c r="Q435" s="36">
        <v>0.11458333333333333</v>
      </c>
      <c r="R435" s="37"/>
      <c r="S435"/>
      <c r="T435"/>
      <c r="U435"/>
      <c r="V435"/>
      <c r="W435" s="30" t="s">
        <v>91</v>
      </c>
      <c r="X435" s="30"/>
      <c r="Y435" s="30"/>
      <c r="Z435" s="30"/>
      <c r="AA435" s="30"/>
      <c r="AB435" s="30"/>
      <c r="AC435" s="30"/>
    </row>
    <row r="436" spans="2:29">
      <c r="B436" s="140" t="s">
        <v>638</v>
      </c>
      <c r="D436" s="36">
        <v>0.62361111111111112</v>
      </c>
      <c r="E436" s="36">
        <v>0.62361111111111112</v>
      </c>
      <c r="F436" s="36">
        <v>0.73472222222222228</v>
      </c>
      <c r="G436" s="36">
        <v>0.73472222222222228</v>
      </c>
      <c r="H436" s="30" t="s">
        <v>29</v>
      </c>
      <c r="I436" s="37">
        <v>0.63055555555555554</v>
      </c>
      <c r="J436" s="30" t="s">
        <v>29</v>
      </c>
      <c r="K436" s="36">
        <v>0.72777777777777775</v>
      </c>
      <c r="L436" s="28" t="s">
        <v>196</v>
      </c>
      <c r="M436" s="36">
        <v>0.63749999999999996</v>
      </c>
      <c r="N436" s="37">
        <v>0.72083333333333333</v>
      </c>
      <c r="O436" s="37">
        <v>8.611111111111111E-2</v>
      </c>
      <c r="P436" s="39">
        <v>42</v>
      </c>
      <c r="Q436" s="36">
        <v>0.11805555555555555</v>
      </c>
      <c r="R436" s="37"/>
      <c r="S436"/>
      <c r="T436"/>
      <c r="U436"/>
      <c r="V436"/>
      <c r="W436" s="30" t="s">
        <v>91</v>
      </c>
      <c r="X436" s="30"/>
      <c r="Y436" s="30"/>
      <c r="Z436" s="30"/>
      <c r="AA436" s="30"/>
      <c r="AB436" s="30"/>
      <c r="AC436" s="30"/>
    </row>
    <row r="437" spans="2:29">
      <c r="B437" s="140" t="s">
        <v>378</v>
      </c>
      <c r="C437" s="46"/>
      <c r="D437" s="154">
        <v>0.30833333333333335</v>
      </c>
      <c r="E437" s="31">
        <v>0.30833333333333335</v>
      </c>
      <c r="F437" s="36">
        <v>0.73472222222222228</v>
      </c>
      <c r="G437" s="36">
        <v>0.73472222222222228</v>
      </c>
      <c r="H437" s="30" t="s">
        <v>29</v>
      </c>
      <c r="I437" s="31">
        <v>0.31874999999999998</v>
      </c>
      <c r="J437" s="30" t="s">
        <v>29</v>
      </c>
      <c r="K437" s="31">
        <v>0.72777777777777775</v>
      </c>
      <c r="L437" s="28" t="s">
        <v>196</v>
      </c>
      <c r="M437" s="31">
        <v>0.3298611111111111</v>
      </c>
      <c r="N437" s="38">
        <v>0.7416666666666667</v>
      </c>
      <c r="O437" s="31">
        <v>0.25694444444444442</v>
      </c>
      <c r="P437" s="72">
        <v>126.1</v>
      </c>
      <c r="Q437" s="31">
        <v>0.33611111111111114</v>
      </c>
      <c r="R437" s="37"/>
      <c r="S437"/>
      <c r="T437"/>
      <c r="U437"/>
      <c r="V437"/>
      <c r="W437" s="30" t="s">
        <v>91</v>
      </c>
      <c r="X437" s="30"/>
      <c r="Y437" s="30"/>
      <c r="Z437" s="30"/>
      <c r="AA437" s="30"/>
      <c r="AB437" s="30"/>
      <c r="AC437" s="30"/>
    </row>
    <row r="438" spans="2:29">
      <c r="H438" s="30"/>
      <c r="J438" s="30"/>
      <c r="K438" s="36"/>
      <c r="P438"/>
      <c r="Q438"/>
      <c r="R438" s="37"/>
      <c r="S438"/>
      <c r="T438"/>
      <c r="U438"/>
      <c r="V438"/>
      <c r="W438"/>
      <c r="X438"/>
      <c r="Y438"/>
      <c r="Z438"/>
      <c r="AA438"/>
      <c r="AB438"/>
      <c r="AC438"/>
    </row>
    <row r="439" spans="2:29">
      <c r="B439" s="127" t="s">
        <v>383</v>
      </c>
      <c r="D439" s="36">
        <v>0.22222222222222221</v>
      </c>
      <c r="E439" s="36">
        <v>0.22222222222222221</v>
      </c>
      <c r="F439" s="31" t="str">
        <f ca="1">IF($A$4="平日","8:30","9:38")</f>
        <v>8:30</v>
      </c>
      <c r="G439" s="31" t="str">
        <f ca="1">IF($A$4="平日","8:30","9:38")</f>
        <v>8:30</v>
      </c>
      <c r="H439" s="30" t="s">
        <v>29</v>
      </c>
      <c r="I439" s="37">
        <v>0.2326388888888889</v>
      </c>
      <c r="J439" s="30" t="s">
        <v>29</v>
      </c>
      <c r="K439" s="31" t="str">
        <f ca="1">IF($A$4="平日","8:20","9:28")</f>
        <v>8:20</v>
      </c>
      <c r="L439" s="28" t="s">
        <v>196</v>
      </c>
      <c r="M439" s="36">
        <v>0.23958333333333334</v>
      </c>
      <c r="N439" s="31" t="str">
        <f ca="1">IF($A$4="平日","8:10","9:20")</f>
        <v>8:10</v>
      </c>
      <c r="O439" s="31" t="str">
        <f ca="1">IF($A$4="平日","1:49","1:52")</f>
        <v>1:49</v>
      </c>
      <c r="P439" s="39">
        <f ca="1">IF($A$4="平日",40,41.2)</f>
        <v>40</v>
      </c>
      <c r="Q439" s="31" t="str">
        <f ca="1">IF($A$4="平日","3:10","4:18")</f>
        <v>3:10</v>
      </c>
      <c r="R439" s="37"/>
      <c r="S439"/>
      <c r="T439"/>
      <c r="U439"/>
      <c r="V439"/>
      <c r="W439" s="30" t="s">
        <v>91</v>
      </c>
      <c r="X439" s="30"/>
      <c r="Y439" s="30"/>
      <c r="Z439" s="30"/>
      <c r="AA439" s="30"/>
      <c r="AB439" s="30"/>
      <c r="AC439" s="30"/>
    </row>
    <row r="440" spans="2:29">
      <c r="B440" s="127" t="s">
        <v>384</v>
      </c>
      <c r="D440" s="36">
        <v>0.27430555555555558</v>
      </c>
      <c r="E440" s="36">
        <v>0.27430555555555558</v>
      </c>
      <c r="F440" s="31">
        <v>0.40138888888888891</v>
      </c>
      <c r="G440" s="31">
        <v>0.40138888888888891</v>
      </c>
      <c r="H440" s="30" t="s">
        <v>29</v>
      </c>
      <c r="I440" s="37">
        <v>0.28472222222222221</v>
      </c>
      <c r="J440" s="30" t="s">
        <v>29</v>
      </c>
      <c r="K440" s="36">
        <v>0.39444444444444443</v>
      </c>
      <c r="L440" s="28" t="s">
        <v>196</v>
      </c>
      <c r="M440" s="36">
        <v>0.29166666666666669</v>
      </c>
      <c r="N440" s="37">
        <v>0.3888888888888889</v>
      </c>
      <c r="O440" s="37">
        <v>8.3333333333333329E-2</v>
      </c>
      <c r="P440" s="39">
        <v>42.3</v>
      </c>
      <c r="Q440" s="36">
        <v>0.12708333333333333</v>
      </c>
      <c r="R440" s="37"/>
      <c r="S440"/>
      <c r="T440"/>
      <c r="U440"/>
      <c r="V440"/>
      <c r="W440" s="30" t="s">
        <v>91</v>
      </c>
      <c r="X440" s="30"/>
      <c r="Y440" s="30"/>
      <c r="Z440" s="30"/>
      <c r="AA440" s="30"/>
      <c r="AB440" s="30"/>
      <c r="AC440" s="30"/>
    </row>
    <row r="441" spans="2:29">
      <c r="B441" s="127" t="s">
        <v>385</v>
      </c>
      <c r="D441" s="36">
        <v>0.27638888888888891</v>
      </c>
      <c r="E441" s="36">
        <v>0.27638888888888891</v>
      </c>
      <c r="F441" s="31">
        <v>0.40138888888888891</v>
      </c>
      <c r="G441" s="31">
        <v>0.40138888888888891</v>
      </c>
      <c r="H441" s="30" t="s">
        <v>29</v>
      </c>
      <c r="I441" s="37">
        <v>0.28680555555555554</v>
      </c>
      <c r="J441" s="30" t="s">
        <v>29</v>
      </c>
      <c r="K441" s="36">
        <v>0.39444444444444443</v>
      </c>
      <c r="L441" s="28" t="s">
        <v>196</v>
      </c>
      <c r="M441" s="36">
        <v>0.29375000000000001</v>
      </c>
      <c r="N441" s="37">
        <v>0.3888888888888889</v>
      </c>
      <c r="O441" s="37">
        <v>8.3333333333333329E-2</v>
      </c>
      <c r="P441" s="39">
        <v>42.3</v>
      </c>
      <c r="Q441" s="36">
        <f t="shared" ref="Q441:Q447" si="3">F441-D441</f>
        <v>0.125</v>
      </c>
      <c r="R441" s="37"/>
      <c r="T441"/>
      <c r="U441"/>
      <c r="V441"/>
      <c r="W441" s="30" t="s">
        <v>91</v>
      </c>
      <c r="X441" s="30"/>
      <c r="Y441" s="30"/>
      <c r="Z441" s="30"/>
      <c r="AA441" s="30"/>
      <c r="AB441" s="30"/>
      <c r="AC441" s="30"/>
    </row>
    <row r="442" spans="2:29">
      <c r="B442" s="127" t="s">
        <v>386</v>
      </c>
      <c r="D442" s="36">
        <v>0.3125</v>
      </c>
      <c r="E442" s="36">
        <v>0.3125</v>
      </c>
      <c r="F442" s="36">
        <v>0.43958333333333333</v>
      </c>
      <c r="G442" s="36">
        <v>0.43958333333333333</v>
      </c>
      <c r="H442" s="30" t="s">
        <v>29</v>
      </c>
      <c r="I442" s="37">
        <v>0.32291666666666669</v>
      </c>
      <c r="J442" s="30" t="s">
        <v>29</v>
      </c>
      <c r="K442" s="36">
        <v>0.43263888888888891</v>
      </c>
      <c r="L442" s="15" t="s">
        <v>197</v>
      </c>
      <c r="M442" s="36">
        <v>0.3298611111111111</v>
      </c>
      <c r="N442" s="37">
        <v>0.42708333333333331</v>
      </c>
      <c r="O442" s="37">
        <v>8.4722222222222227E-2</v>
      </c>
      <c r="P442" s="39">
        <v>41.5</v>
      </c>
      <c r="Q442" s="36">
        <f t="shared" si="3"/>
        <v>0.12708333333333333</v>
      </c>
      <c r="R442" s="37"/>
      <c r="T442"/>
      <c r="U442"/>
      <c r="V442"/>
      <c r="W442" s="30" t="s">
        <v>91</v>
      </c>
      <c r="X442" s="30"/>
      <c r="Y442" s="30"/>
      <c r="Z442" s="30"/>
      <c r="AA442" s="30"/>
      <c r="AB442" s="30"/>
      <c r="AC442" s="30"/>
    </row>
    <row r="443" spans="2:29">
      <c r="B443" s="127" t="s">
        <v>387</v>
      </c>
      <c r="D443" s="36">
        <v>0.34166666666666667</v>
      </c>
      <c r="E443" s="36">
        <v>0.34166666666666667</v>
      </c>
      <c r="F443" s="36">
        <v>0.52986111111111112</v>
      </c>
      <c r="G443" s="36">
        <v>0.52986111111111112</v>
      </c>
      <c r="H443" s="30" t="s">
        <v>29</v>
      </c>
      <c r="I443" s="37">
        <v>0.35208333333333336</v>
      </c>
      <c r="J443" s="30" t="s">
        <v>29</v>
      </c>
      <c r="K443" s="36">
        <v>0.5229166666666667</v>
      </c>
      <c r="L443" s="28" t="s">
        <v>196</v>
      </c>
      <c r="M443" s="36">
        <v>0.36319444444444443</v>
      </c>
      <c r="N443" s="37">
        <v>0.51736111111111116</v>
      </c>
      <c r="O443" s="37">
        <v>8.4722222222222227E-2</v>
      </c>
      <c r="P443" s="39">
        <v>41.5</v>
      </c>
      <c r="Q443" s="36">
        <f t="shared" si="3"/>
        <v>0.18819444444444444</v>
      </c>
      <c r="R443" s="37"/>
      <c r="T443"/>
      <c r="U443"/>
      <c r="V443"/>
      <c r="W443" s="30" t="s">
        <v>91</v>
      </c>
      <c r="X443" s="30"/>
      <c r="Y443" s="30"/>
      <c r="Z443" s="30"/>
      <c r="AA443" s="30"/>
      <c r="AB443" s="30"/>
      <c r="AC443" s="30"/>
    </row>
    <row r="444" spans="2:29">
      <c r="B444" s="127" t="s">
        <v>388</v>
      </c>
      <c r="D444" s="36">
        <v>0.34375</v>
      </c>
      <c r="E444" s="36">
        <v>0.34375</v>
      </c>
      <c r="F444" s="36">
        <v>0.52986111111111112</v>
      </c>
      <c r="G444" s="36">
        <v>0.52986111111111112</v>
      </c>
      <c r="H444" s="30" t="s">
        <v>29</v>
      </c>
      <c r="I444" s="37">
        <v>0.35416666666666669</v>
      </c>
      <c r="J444" s="30" t="s">
        <v>29</v>
      </c>
      <c r="K444" s="36">
        <v>0.5229166666666667</v>
      </c>
      <c r="L444" s="28" t="s">
        <v>196</v>
      </c>
      <c r="M444" s="36">
        <v>0.3611111111111111</v>
      </c>
      <c r="N444" s="37">
        <v>0.51736111111111116</v>
      </c>
      <c r="O444" s="37">
        <v>8.6111111111111124E-2</v>
      </c>
      <c r="P444" s="39">
        <v>42.3</v>
      </c>
      <c r="Q444" s="36">
        <f t="shared" si="3"/>
        <v>0.18611111111111112</v>
      </c>
      <c r="R444" s="37"/>
      <c r="T444"/>
      <c r="U444"/>
      <c r="V444"/>
      <c r="W444" s="30" t="s">
        <v>91</v>
      </c>
      <c r="X444" s="30"/>
      <c r="Y444" s="30"/>
      <c r="Z444" s="30"/>
      <c r="AA444" s="30"/>
      <c r="AB444" s="30"/>
      <c r="AC444" s="30"/>
    </row>
    <row r="445" spans="2:29">
      <c r="B445" s="127" t="s">
        <v>389</v>
      </c>
      <c r="D445" s="36">
        <v>0.34583333333333333</v>
      </c>
      <c r="E445" s="36">
        <v>0.34583333333333333</v>
      </c>
      <c r="F445" s="36">
        <v>0.52986111111111112</v>
      </c>
      <c r="G445" s="36">
        <v>0.52986111111111112</v>
      </c>
      <c r="H445" s="30" t="s">
        <v>29</v>
      </c>
      <c r="I445" s="37">
        <v>0.35625000000000001</v>
      </c>
      <c r="J445" s="30" t="s">
        <v>29</v>
      </c>
      <c r="K445" s="36">
        <v>0.5229166666666667</v>
      </c>
      <c r="L445" s="28" t="s">
        <v>196</v>
      </c>
      <c r="M445" s="36">
        <v>0.36319444444444443</v>
      </c>
      <c r="N445" s="37">
        <v>0.51736111111111116</v>
      </c>
      <c r="O445" s="37">
        <v>8.611111111111111E-2</v>
      </c>
      <c r="P445" s="39">
        <v>42.3</v>
      </c>
      <c r="Q445" s="36">
        <f t="shared" si="3"/>
        <v>0.18402777777777779</v>
      </c>
      <c r="R445" s="37"/>
      <c r="T445"/>
      <c r="U445"/>
      <c r="V445"/>
      <c r="W445" s="30" t="s">
        <v>91</v>
      </c>
      <c r="X445" s="30"/>
      <c r="Y445" s="30"/>
      <c r="Z445" s="30"/>
      <c r="AA445" s="30"/>
      <c r="AB445" s="30"/>
      <c r="AC445" s="30"/>
    </row>
    <row r="446" spans="2:29">
      <c r="B446" s="127" t="s">
        <v>390</v>
      </c>
      <c r="D446" s="36">
        <v>0.38333333333333336</v>
      </c>
      <c r="E446" s="36">
        <v>0.38333333333333336</v>
      </c>
      <c r="F446" s="36">
        <v>0.60624999999999996</v>
      </c>
      <c r="G446" s="36">
        <v>0.60624999999999996</v>
      </c>
      <c r="H446" s="30" t="s">
        <v>29</v>
      </c>
      <c r="I446" s="37">
        <v>0.39374999999999999</v>
      </c>
      <c r="J446" s="30" t="s">
        <v>29</v>
      </c>
      <c r="K446" s="36">
        <v>0.59930555555555554</v>
      </c>
      <c r="L446" s="28" t="s">
        <v>196</v>
      </c>
      <c r="M446" s="36">
        <v>0.39930555555555558</v>
      </c>
      <c r="N446" s="37">
        <v>0.59375</v>
      </c>
      <c r="O446" s="37">
        <v>7.9166666666666663E-2</v>
      </c>
      <c r="P446" s="39">
        <v>40.799999999999997</v>
      </c>
      <c r="Q446" s="36">
        <f t="shared" si="3"/>
        <v>0.2229166666666666</v>
      </c>
      <c r="R446" s="37"/>
      <c r="S446"/>
      <c r="T446"/>
      <c r="U446"/>
      <c r="V446"/>
      <c r="W446" s="30" t="s">
        <v>91</v>
      </c>
      <c r="X446" s="30"/>
      <c r="Y446" s="30"/>
      <c r="Z446" s="30"/>
      <c r="AA446" s="30"/>
      <c r="AB446" s="30"/>
      <c r="AC446" s="30"/>
    </row>
    <row r="447" spans="2:29">
      <c r="B447" s="127" t="s">
        <v>391</v>
      </c>
      <c r="D447" s="36">
        <v>0.38194444444444442</v>
      </c>
      <c r="E447" s="36">
        <v>0.38194444444444442</v>
      </c>
      <c r="F447" s="36">
        <v>0.51249999999999996</v>
      </c>
      <c r="G447" s="36">
        <v>0.51249999999999996</v>
      </c>
      <c r="H447" s="30" t="s">
        <v>462</v>
      </c>
      <c r="I447" s="37">
        <v>0.3923611111111111</v>
      </c>
      <c r="J447" s="30" t="s">
        <v>462</v>
      </c>
      <c r="K447" s="36">
        <v>0.50555555555555554</v>
      </c>
      <c r="L447" s="28" t="s">
        <v>463</v>
      </c>
      <c r="M447" s="36">
        <v>0.39930555555555558</v>
      </c>
      <c r="N447" s="37">
        <v>0.5</v>
      </c>
      <c r="O447" s="37">
        <v>8.4722222222222227E-2</v>
      </c>
      <c r="P447" s="39">
        <v>41.5</v>
      </c>
      <c r="Q447" s="36">
        <f t="shared" si="3"/>
        <v>0.13055555555555554</v>
      </c>
      <c r="R447" s="37"/>
      <c r="S447"/>
      <c r="T447"/>
      <c r="U447"/>
      <c r="V447"/>
      <c r="W447" s="30" t="s">
        <v>91</v>
      </c>
      <c r="X447" s="30"/>
      <c r="Y447" s="30"/>
      <c r="Z447" s="30"/>
      <c r="AA447" s="30"/>
      <c r="AB447" s="30"/>
      <c r="AC447" s="30"/>
    </row>
    <row r="448" spans="2:29">
      <c r="B448" s="127" t="s">
        <v>392</v>
      </c>
      <c r="D448" s="36">
        <v>0.45347222222222222</v>
      </c>
      <c r="E448" s="36">
        <v>0.45347222222222222</v>
      </c>
      <c r="F448" s="36">
        <v>0.59236111111111112</v>
      </c>
      <c r="G448" s="36">
        <v>0.59236111111111112</v>
      </c>
      <c r="H448" s="30" t="s">
        <v>29</v>
      </c>
      <c r="I448" s="37">
        <v>0.46388888888888891</v>
      </c>
      <c r="J448" s="30" t="s">
        <v>29</v>
      </c>
      <c r="K448" s="36">
        <v>0.5854166666666667</v>
      </c>
      <c r="L448" s="28" t="s">
        <v>196</v>
      </c>
      <c r="M448" s="36">
        <v>0.47083333333333333</v>
      </c>
      <c r="N448" s="37">
        <v>0.57986111111111116</v>
      </c>
      <c r="O448" s="37">
        <v>8.4722222222222227E-2</v>
      </c>
      <c r="P448" s="39">
        <v>41.5</v>
      </c>
      <c r="Q448" s="36">
        <f t="shared" ref="Q448:Q449" si="4">F448-D448</f>
        <v>0.1388888888888889</v>
      </c>
      <c r="R448" s="37"/>
      <c r="S448"/>
      <c r="T448"/>
      <c r="U448"/>
      <c r="V448"/>
      <c r="W448" s="30" t="s">
        <v>91</v>
      </c>
      <c r="X448" s="30"/>
      <c r="Y448" s="30"/>
      <c r="Z448" s="30"/>
      <c r="AA448" s="30"/>
      <c r="AB448" s="30"/>
      <c r="AC448" s="30"/>
    </row>
    <row r="449" spans="2:34">
      <c r="B449" s="127" t="s">
        <v>393</v>
      </c>
      <c r="D449" s="36">
        <v>0.45555555555555555</v>
      </c>
      <c r="E449" s="36">
        <v>0.45555555555555555</v>
      </c>
      <c r="F449" s="36">
        <v>0.59236111111111112</v>
      </c>
      <c r="G449" s="36">
        <v>0.59236111111111112</v>
      </c>
      <c r="H449" s="30" t="s">
        <v>29</v>
      </c>
      <c r="I449" s="37">
        <v>0.46597222222222223</v>
      </c>
      <c r="J449" s="30" t="s">
        <v>29</v>
      </c>
      <c r="K449" s="36">
        <v>0.5854166666666667</v>
      </c>
      <c r="L449" s="28" t="s">
        <v>196</v>
      </c>
      <c r="M449" s="36">
        <v>0.47291666666666665</v>
      </c>
      <c r="N449" s="37">
        <v>0.57986111111111116</v>
      </c>
      <c r="O449" s="37">
        <v>8.4722222222222227E-2</v>
      </c>
      <c r="P449" s="39">
        <v>41.5</v>
      </c>
      <c r="Q449" s="36">
        <f t="shared" si="4"/>
        <v>0.13680555555555557</v>
      </c>
      <c r="R449" s="37"/>
      <c r="S449"/>
      <c r="T449"/>
      <c r="U449"/>
      <c r="V449"/>
      <c r="W449" s="30" t="s">
        <v>91</v>
      </c>
      <c r="X449" s="30"/>
      <c r="Y449" s="30"/>
      <c r="Z449" s="30"/>
      <c r="AA449" s="30"/>
      <c r="AB449" s="30"/>
      <c r="AC449" s="30"/>
    </row>
    <row r="450" spans="2:34">
      <c r="B450" s="127" t="s">
        <v>394</v>
      </c>
      <c r="D450" s="36">
        <v>0.46319444444444446</v>
      </c>
      <c r="E450" s="36">
        <v>0.46319444444444446</v>
      </c>
      <c r="F450" s="36">
        <v>0.70694444444444449</v>
      </c>
      <c r="G450" s="36">
        <v>0.70694444444444449</v>
      </c>
      <c r="H450" s="30" t="s">
        <v>29</v>
      </c>
      <c r="I450" s="37">
        <v>0.47361111111111109</v>
      </c>
      <c r="J450" s="30" t="s">
        <v>29</v>
      </c>
      <c r="K450" s="36">
        <v>0.7</v>
      </c>
      <c r="L450" s="28" t="s">
        <v>196</v>
      </c>
      <c r="M450" s="36">
        <v>0.47916666666666669</v>
      </c>
      <c r="N450" s="37">
        <v>0.69305555555555554</v>
      </c>
      <c r="O450" s="37">
        <v>7.9166666666666663E-2</v>
      </c>
      <c r="P450" s="39">
        <v>40.799999999999997</v>
      </c>
      <c r="Q450" s="36">
        <f t="shared" ref="Q450:Q453" si="5">F450-D450</f>
        <v>0.24375000000000002</v>
      </c>
      <c r="R450" s="37"/>
      <c r="S450"/>
      <c r="T450"/>
      <c r="U450"/>
      <c r="V450"/>
      <c r="W450" s="30" t="s">
        <v>91</v>
      </c>
      <c r="X450" s="30"/>
      <c r="Y450" s="30"/>
      <c r="Z450" s="30"/>
      <c r="AA450" s="30"/>
      <c r="AB450" s="30"/>
      <c r="AC450" s="30"/>
    </row>
    <row r="451" spans="2:34">
      <c r="B451" s="127" t="s">
        <v>395</v>
      </c>
      <c r="D451" s="36">
        <v>0.5395833333333333</v>
      </c>
      <c r="E451" s="36">
        <v>0.5395833333333333</v>
      </c>
      <c r="F451" s="36">
        <v>0.76944444444444449</v>
      </c>
      <c r="G451" s="36">
        <v>0.76944444444444449</v>
      </c>
      <c r="H451" s="30" t="s">
        <v>29</v>
      </c>
      <c r="I451" s="37">
        <v>0.55000000000000004</v>
      </c>
      <c r="J451" s="30" t="s">
        <v>29</v>
      </c>
      <c r="K451" s="36">
        <v>0.76249999999999996</v>
      </c>
      <c r="L451" s="28" t="s">
        <v>196</v>
      </c>
      <c r="M451" s="36">
        <v>0.55555555555555558</v>
      </c>
      <c r="N451" s="37">
        <v>0.75555555555555554</v>
      </c>
      <c r="O451" s="37">
        <v>7.9166666666666663E-2</v>
      </c>
      <c r="P451" s="39">
        <v>40.799999999999997</v>
      </c>
      <c r="Q451" s="36">
        <f t="shared" si="5"/>
        <v>0.22986111111111118</v>
      </c>
      <c r="R451" s="37"/>
      <c r="S451"/>
      <c r="T451"/>
      <c r="U451"/>
      <c r="V451"/>
      <c r="W451" s="30" t="s">
        <v>91</v>
      </c>
      <c r="X451" s="30"/>
      <c r="Y451" s="30"/>
      <c r="Z451" s="30"/>
      <c r="AA451" s="30"/>
      <c r="AB451" s="30"/>
      <c r="AC451" s="30"/>
    </row>
    <row r="452" spans="2:34">
      <c r="B452" s="127" t="s">
        <v>396</v>
      </c>
      <c r="D452" s="36">
        <v>0.53611111111111109</v>
      </c>
      <c r="E452" s="36">
        <v>0.53611111111111109</v>
      </c>
      <c r="F452" s="36">
        <v>0.76944444444444449</v>
      </c>
      <c r="G452" s="36">
        <v>0.76944444444444449</v>
      </c>
      <c r="H452" s="30" t="s">
        <v>29</v>
      </c>
      <c r="I452" s="37">
        <v>0.54652777777777772</v>
      </c>
      <c r="J452" s="30" t="s">
        <v>29</v>
      </c>
      <c r="K452" s="36">
        <v>0.76249999999999996</v>
      </c>
      <c r="L452" s="28" t="s">
        <v>196</v>
      </c>
      <c r="M452" s="36">
        <v>0.55347222222222225</v>
      </c>
      <c r="N452" s="37">
        <v>0.75555555555555554</v>
      </c>
      <c r="O452" s="37">
        <v>8.4722222222222227E-2</v>
      </c>
      <c r="P452" s="39">
        <v>41.5</v>
      </c>
      <c r="Q452" s="36">
        <f t="shared" si="5"/>
        <v>0.23333333333333339</v>
      </c>
      <c r="R452" s="37"/>
      <c r="S452"/>
      <c r="T452"/>
      <c r="U452"/>
      <c r="V452"/>
      <c r="W452" s="30" t="s">
        <v>91</v>
      </c>
      <c r="X452" s="30"/>
      <c r="Y452" s="30"/>
      <c r="Z452" s="30"/>
      <c r="AA452" s="30"/>
      <c r="AB452" s="30"/>
      <c r="AC452" s="30"/>
    </row>
    <row r="453" spans="2:34">
      <c r="B453" s="127" t="s">
        <v>397</v>
      </c>
      <c r="D453" s="36">
        <v>0.53819444444444442</v>
      </c>
      <c r="E453" s="36">
        <v>0.53819444444444442</v>
      </c>
      <c r="F453" s="36">
        <v>0.65833333333333333</v>
      </c>
      <c r="G453" s="36">
        <v>0.65833333333333333</v>
      </c>
      <c r="H453" s="30" t="s">
        <v>29</v>
      </c>
      <c r="I453" s="37">
        <v>0.54861111111111116</v>
      </c>
      <c r="J453" s="30" t="s">
        <v>29</v>
      </c>
      <c r="K453" s="36">
        <v>0.65138888888888891</v>
      </c>
      <c r="L453" s="28" t="s">
        <v>196</v>
      </c>
      <c r="M453" s="36">
        <v>0.55555555555555558</v>
      </c>
      <c r="N453" s="37">
        <v>0.64583333333333337</v>
      </c>
      <c r="O453" s="37">
        <v>8.4722222222222227E-2</v>
      </c>
      <c r="P453" s="39">
        <v>41.5</v>
      </c>
      <c r="Q453" s="36">
        <f t="shared" si="5"/>
        <v>0.12013888888888891</v>
      </c>
      <c r="R453" s="37"/>
      <c r="S453"/>
      <c r="T453"/>
      <c r="U453"/>
      <c r="V453"/>
      <c r="W453" s="30" t="s">
        <v>91</v>
      </c>
      <c r="X453" s="30"/>
      <c r="Y453" s="30"/>
      <c r="Z453" s="30"/>
      <c r="AA453" s="30"/>
      <c r="AB453" s="30"/>
      <c r="AC453" s="30"/>
    </row>
    <row r="454" spans="2:34">
      <c r="B454" s="127" t="s">
        <v>398</v>
      </c>
      <c r="D454" s="36">
        <v>0.61944444444444446</v>
      </c>
      <c r="E454" s="36">
        <v>0.61944444444444446</v>
      </c>
      <c r="F454" s="36">
        <v>0.84583333333333333</v>
      </c>
      <c r="G454" s="36">
        <v>0.84583333333333333</v>
      </c>
      <c r="H454" s="30" t="s">
        <v>29</v>
      </c>
      <c r="I454" s="37">
        <v>0.62986111111111109</v>
      </c>
      <c r="J454" s="30" t="s">
        <v>29</v>
      </c>
      <c r="K454" s="36">
        <v>0.83888888888888891</v>
      </c>
      <c r="L454" s="28" t="s">
        <v>196</v>
      </c>
      <c r="M454" s="36">
        <v>0.63541666666666663</v>
      </c>
      <c r="N454" s="37">
        <v>0.83194444444444449</v>
      </c>
      <c r="O454" s="37">
        <v>7.9166666666666663E-2</v>
      </c>
      <c r="P454" s="39">
        <v>40.799999999999997</v>
      </c>
      <c r="Q454" s="36">
        <f>F454-D454</f>
        <v>0.22638888888888886</v>
      </c>
      <c r="R454" s="37"/>
      <c r="S454"/>
      <c r="T454"/>
      <c r="U454"/>
      <c r="V454"/>
      <c r="W454" s="30" t="s">
        <v>91</v>
      </c>
      <c r="X454" s="30"/>
      <c r="Y454" s="30"/>
      <c r="Z454" s="30"/>
      <c r="AA454" s="30"/>
      <c r="AB454" s="30"/>
      <c r="AC454" s="30"/>
    </row>
    <row r="455" spans="2:34">
      <c r="B455" s="127" t="s">
        <v>399</v>
      </c>
      <c r="D455" s="36">
        <v>0.67013888888888884</v>
      </c>
      <c r="E455" s="36">
        <v>0.67013888888888884</v>
      </c>
      <c r="F455" s="36">
        <v>0.86805555555555558</v>
      </c>
      <c r="G455" s="36">
        <v>0.86805555555555558</v>
      </c>
      <c r="H455" s="30" t="s">
        <v>29</v>
      </c>
      <c r="I455" s="37">
        <v>0.68055555555555558</v>
      </c>
      <c r="J455" s="30" t="s">
        <v>29</v>
      </c>
      <c r="K455" s="36">
        <v>0.86111111111111116</v>
      </c>
      <c r="L455" s="28" t="s">
        <v>196</v>
      </c>
      <c r="M455" s="36">
        <v>0.6875</v>
      </c>
      <c r="N455" s="37">
        <v>0.85416666666666663</v>
      </c>
      <c r="O455" s="37">
        <v>8.2638888888888887E-2</v>
      </c>
      <c r="P455" s="39">
        <v>41.1</v>
      </c>
      <c r="Q455" s="36">
        <f t="shared" ref="Q455:Q456" si="6">F455-D455</f>
        <v>0.19791666666666674</v>
      </c>
      <c r="R455" s="37"/>
      <c r="S455"/>
      <c r="T455"/>
      <c r="U455"/>
      <c r="V455"/>
      <c r="W455" s="30" t="s">
        <v>91</v>
      </c>
      <c r="X455" s="30"/>
      <c r="Y455" s="30"/>
      <c r="Z455" s="30"/>
      <c r="AA455" s="30"/>
      <c r="AB455" s="30"/>
      <c r="AC455" s="30"/>
    </row>
    <row r="456" spans="2:34">
      <c r="B456" s="127" t="s">
        <v>400</v>
      </c>
      <c r="D456" s="36">
        <v>0.67222222222222228</v>
      </c>
      <c r="E456" s="36">
        <v>0.67222222222222228</v>
      </c>
      <c r="F456" s="36">
        <v>0.86805555555555558</v>
      </c>
      <c r="G456" s="36">
        <v>0.86805555555555558</v>
      </c>
      <c r="H456" s="30" t="s">
        <v>29</v>
      </c>
      <c r="I456" s="37">
        <v>0.68263888888888891</v>
      </c>
      <c r="J456" s="30" t="s">
        <v>29</v>
      </c>
      <c r="K456" s="36">
        <v>0.86111111111111116</v>
      </c>
      <c r="L456" s="28" t="s">
        <v>196</v>
      </c>
      <c r="M456" s="36">
        <v>0.68958333333333333</v>
      </c>
      <c r="N456" s="37">
        <v>0.85416666666666663</v>
      </c>
      <c r="O456" s="37">
        <v>8.4027777777777785E-2</v>
      </c>
      <c r="P456" s="39">
        <v>41.9</v>
      </c>
      <c r="Q456" s="36">
        <f t="shared" si="6"/>
        <v>0.1958333333333333</v>
      </c>
      <c r="R456" s="37"/>
      <c r="S456"/>
      <c r="T456"/>
      <c r="U456"/>
      <c r="V456"/>
      <c r="W456" s="30" t="s">
        <v>91</v>
      </c>
      <c r="X456" s="30"/>
      <c r="Y456" s="30"/>
      <c r="Z456" s="30"/>
      <c r="AA456" s="30"/>
      <c r="AB456" s="30"/>
      <c r="AC456" s="30"/>
    </row>
    <row r="457" spans="2:34">
      <c r="B457" s="127" t="s">
        <v>639</v>
      </c>
      <c r="D457" s="36">
        <v>0.72291666666666665</v>
      </c>
      <c r="E457" s="36">
        <v>0.72291666666666665</v>
      </c>
      <c r="F457" s="36">
        <v>0.88541666666666663</v>
      </c>
      <c r="G457" s="36">
        <v>0.88541666666666663</v>
      </c>
      <c r="H457" s="30" t="s">
        <v>29</v>
      </c>
      <c r="I457" s="37">
        <v>0.73333333333333328</v>
      </c>
      <c r="J457" s="30" t="s">
        <v>29</v>
      </c>
      <c r="K457" s="36">
        <v>0.87847222222222221</v>
      </c>
      <c r="L457" s="28" t="s">
        <v>196</v>
      </c>
      <c r="M457" s="36">
        <v>0.74027777777777781</v>
      </c>
      <c r="N457" s="37">
        <v>0.87152777777777779</v>
      </c>
      <c r="O457" s="37">
        <v>9.0972222222222218E-2</v>
      </c>
      <c r="P457" s="39">
        <v>41.9</v>
      </c>
      <c r="Q457" s="36">
        <f>F457-D457</f>
        <v>0.16249999999999998</v>
      </c>
      <c r="R457" s="37"/>
      <c r="S457"/>
      <c r="T457"/>
      <c r="U457"/>
      <c r="V457"/>
      <c r="W457" s="30" t="s">
        <v>91</v>
      </c>
      <c r="X457" s="30"/>
      <c r="Y457" s="30"/>
      <c r="Z457" s="30"/>
      <c r="AA457" s="30"/>
      <c r="AB457" s="30"/>
      <c r="AC457" s="30"/>
    </row>
    <row r="458" spans="2:34">
      <c r="B458" s="127" t="s">
        <v>640</v>
      </c>
      <c r="D458" s="36">
        <v>0.76041666666666663</v>
      </c>
      <c r="E458" s="36">
        <v>0.76041666666666663</v>
      </c>
      <c r="F458" s="36">
        <v>0.88888888888888884</v>
      </c>
      <c r="G458" s="36">
        <v>0.88888888888888884</v>
      </c>
      <c r="H458" s="30" t="s">
        <v>29</v>
      </c>
      <c r="I458" s="37">
        <v>0.77083333333333337</v>
      </c>
      <c r="J458" s="30" t="s">
        <v>29</v>
      </c>
      <c r="K458" s="36">
        <v>0.88194444444444442</v>
      </c>
      <c r="L458" s="28" t="s">
        <v>196</v>
      </c>
      <c r="M458" s="36">
        <v>0.77777777777777779</v>
      </c>
      <c r="N458" s="37">
        <v>0.875</v>
      </c>
      <c r="O458" s="37">
        <v>8.7499999999999994E-2</v>
      </c>
      <c r="P458" s="39">
        <v>41.1</v>
      </c>
      <c r="Q458" s="36">
        <f>F458-D458</f>
        <v>0.12847222222222221</v>
      </c>
      <c r="R458" s="37"/>
      <c r="S458"/>
      <c r="T458"/>
      <c r="U458"/>
      <c r="V458"/>
      <c r="W458" s="30" t="s">
        <v>91</v>
      </c>
      <c r="X458" s="30"/>
      <c r="Y458" s="30"/>
      <c r="Z458" s="30"/>
      <c r="AA458" s="30"/>
      <c r="AB458" s="30"/>
      <c r="AC458" s="30"/>
    </row>
    <row r="459" spans="2:34">
      <c r="B459" s="127" t="s">
        <v>677</v>
      </c>
      <c r="D459" s="36">
        <v>0.76249999999999996</v>
      </c>
      <c r="E459" s="36">
        <v>0.76249999999999996</v>
      </c>
      <c r="F459" s="36">
        <v>0.88888888888888884</v>
      </c>
      <c r="G459" s="36">
        <v>0.88888888888888884</v>
      </c>
      <c r="H459" s="30" t="s">
        <v>29</v>
      </c>
      <c r="I459" s="37">
        <v>0.7729166666666667</v>
      </c>
      <c r="J459" s="30" t="s">
        <v>29</v>
      </c>
      <c r="K459" s="37">
        <v>0.88194444444444442</v>
      </c>
      <c r="M459" s="36">
        <v>0.77986111111111112</v>
      </c>
      <c r="N459" s="37">
        <v>0.875</v>
      </c>
      <c r="O459" s="37">
        <v>9.0972222222222218E-2</v>
      </c>
      <c r="P459" s="39">
        <v>41.9</v>
      </c>
      <c r="Q459" s="36">
        <f>F459-D459</f>
        <v>0.12638888888888888</v>
      </c>
      <c r="R459" s="37"/>
      <c r="S459"/>
      <c r="T459"/>
      <c r="U459"/>
      <c r="V459"/>
      <c r="W459" s="30" t="s">
        <v>91</v>
      </c>
      <c r="X459" s="30"/>
      <c r="Y459" s="30"/>
      <c r="Z459" s="30"/>
      <c r="AA459" s="30"/>
      <c r="AB459" s="30"/>
      <c r="AC459" s="30"/>
    </row>
    <row r="460" spans="2:34">
      <c r="B460" s="127" t="s">
        <v>678</v>
      </c>
      <c r="D460" s="31" t="str">
        <f ca="1">IF($A$4="平日","17:45","20:25")</f>
        <v>17:45</v>
      </c>
      <c r="E460" s="31" t="str">
        <f ca="1">IF($A$4="平日","17:45","20:25")</f>
        <v>17:45</v>
      </c>
      <c r="F460" s="31">
        <v>0.95138888888888884</v>
      </c>
      <c r="G460" s="31">
        <v>0.95138888888888884</v>
      </c>
      <c r="H460" s="30" t="s">
        <v>29</v>
      </c>
      <c r="I460" s="31" t="str">
        <f ca="1">IF($A$4="平日","18:00","20:40")</f>
        <v>18:00</v>
      </c>
      <c r="J460" s="30" t="s">
        <v>29</v>
      </c>
      <c r="K460" s="36">
        <v>0.94444444444444442</v>
      </c>
      <c r="L460" s="28" t="s">
        <v>196</v>
      </c>
      <c r="M460" s="31" t="str">
        <f ca="1">IF($A$4="平日","18:10","20:40")</f>
        <v>18:10</v>
      </c>
      <c r="N460" s="37">
        <v>0.9375</v>
      </c>
      <c r="O460" s="31" t="str">
        <f ca="1">IF($A$4="平日","2:03","1:43")</f>
        <v>2:03</v>
      </c>
      <c r="P460" s="39">
        <f ca="1">IF($A$4="平日",40.8,39.1)</f>
        <v>40.799999999999997</v>
      </c>
      <c r="Q460" s="31" t="str">
        <f ca="1">IF($A$4="平日","5:05","2:25")</f>
        <v>5:05</v>
      </c>
      <c r="R460" s="37"/>
      <c r="S460"/>
      <c r="T460"/>
      <c r="U460"/>
      <c r="V460"/>
      <c r="W460" s="30" t="s">
        <v>91</v>
      </c>
      <c r="X460" s="30"/>
      <c r="Y460" s="30"/>
      <c r="Z460" s="30"/>
      <c r="AA460" s="30"/>
      <c r="AB460" s="30"/>
      <c r="AC460" s="30"/>
    </row>
    <row r="461" spans="2:34">
      <c r="B461" s="127"/>
      <c r="C461" s="127"/>
      <c r="D461" s="31"/>
      <c r="E461" s="31"/>
      <c r="F461" s="31"/>
      <c r="G461" s="31"/>
      <c r="H461" s="30"/>
      <c r="I461" s="31"/>
      <c r="J461" s="30"/>
      <c r="K461" s="36"/>
      <c r="L461" s="28"/>
      <c r="M461" s="31"/>
      <c r="P461" s="39"/>
      <c r="Q461" s="36"/>
      <c r="R461" s="37"/>
      <c r="S461"/>
      <c r="T461"/>
      <c r="U461"/>
      <c r="V461"/>
      <c r="W461" s="30"/>
      <c r="X461" s="30"/>
      <c r="Y461" s="30"/>
      <c r="Z461" s="30"/>
      <c r="AA461" s="30"/>
      <c r="AB461" s="30"/>
      <c r="AC461" s="30"/>
    </row>
    <row r="462" spans="2:34">
      <c r="B462" s="127"/>
      <c r="C462" s="127"/>
      <c r="D462" s="31"/>
      <c r="E462" s="31"/>
      <c r="F462" s="31"/>
      <c r="G462" s="31"/>
      <c r="H462" s="30"/>
      <c r="I462" s="31"/>
      <c r="J462" s="30"/>
      <c r="K462" s="36"/>
      <c r="L462" s="28"/>
      <c r="M462" s="31"/>
      <c r="O462" s="31"/>
      <c r="P462" s="39"/>
      <c r="Q462" s="31"/>
      <c r="R462" s="37"/>
      <c r="S462"/>
      <c r="T462"/>
      <c r="U462"/>
      <c r="V462"/>
      <c r="W462" s="30"/>
      <c r="X462" s="30"/>
      <c r="Y462" s="30"/>
      <c r="Z462" s="30"/>
      <c r="AA462" s="30"/>
      <c r="AB462" s="30"/>
      <c r="AC462" s="30"/>
    </row>
    <row r="463" spans="2:34">
      <c r="K463" s="36"/>
      <c r="L463" s="28" t="s">
        <v>196</v>
      </c>
      <c r="P463"/>
      <c r="Q463"/>
      <c r="R463" s="37"/>
      <c r="S463"/>
      <c r="T463"/>
      <c r="U463"/>
      <c r="V463"/>
      <c r="W463"/>
      <c r="X463" t="s">
        <v>464</v>
      </c>
      <c r="Y463" t="s">
        <v>202</v>
      </c>
      <c r="Z463" t="s">
        <v>203</v>
      </c>
      <c r="AA463" t="s">
        <v>31</v>
      </c>
      <c r="AB463" s="27" t="s">
        <v>405</v>
      </c>
      <c r="AC463" t="s">
        <v>208</v>
      </c>
      <c r="AG463" s="27"/>
    </row>
    <row r="464" spans="2:34">
      <c r="B464" t="s">
        <v>434</v>
      </c>
      <c r="D464" s="37">
        <f t="shared" ref="D464:D471" si="7">M464-$X464</f>
        <v>0.42708333333333337</v>
      </c>
      <c r="E464" s="37">
        <f t="shared" ref="E464:E471" si="8">M464-$X464</f>
        <v>0.42708333333333337</v>
      </c>
      <c r="F464" s="36">
        <f t="shared" ref="F464:F471" si="9">N464+Y464</f>
        <v>0.52986111111111112</v>
      </c>
      <c r="G464" s="36">
        <f t="shared" ref="G464:G471" si="10">N464+Y464</f>
        <v>0.52986111111111112</v>
      </c>
      <c r="H464" s="30" t="s">
        <v>29</v>
      </c>
      <c r="I464" s="37">
        <f t="shared" ref="I464:I471" si="11">D464+Z464</f>
        <v>0.43750000000000006</v>
      </c>
      <c r="J464" s="30" t="s">
        <v>29</v>
      </c>
      <c r="K464" s="36">
        <f t="shared" ref="K464:K471" si="12">N464+AA464</f>
        <v>0.5229166666666667</v>
      </c>
      <c r="L464" s="28" t="s">
        <v>196</v>
      </c>
      <c r="M464" s="36">
        <v>0.47916666666666669</v>
      </c>
      <c r="N464" s="37">
        <f>M464+AB464</f>
        <v>0.51736111111111116</v>
      </c>
      <c r="O464" s="37">
        <f t="shared" ref="O464:O471" si="13">N464-M464+AC464</f>
        <v>7.2916666666666699E-2</v>
      </c>
      <c r="P464">
        <v>39.299999999999997</v>
      </c>
      <c r="Q464" s="36">
        <f t="shared" ref="Q464:Q471" si="14">F464-D464</f>
        <v>0.10277777777777775</v>
      </c>
      <c r="R464" s="37"/>
      <c r="S464"/>
      <c r="T464"/>
      <c r="U464"/>
      <c r="V464"/>
      <c r="W464" s="30" t="s">
        <v>164</v>
      </c>
      <c r="X464" s="37">
        <v>5.2083333333333336E-2</v>
      </c>
      <c r="Y464" s="37">
        <v>1.2500000000000001E-2</v>
      </c>
      <c r="Z464" s="37">
        <v>1.0416666666666666E-2</v>
      </c>
      <c r="AA464" s="37">
        <v>5.5555555555555558E-3</v>
      </c>
      <c r="AB464" s="37">
        <v>3.8194444444444448E-2</v>
      </c>
      <c r="AC464" s="37">
        <v>3.4722222222222224E-2</v>
      </c>
      <c r="AD464" s="37"/>
      <c r="AE464" s="37"/>
      <c r="AF464" s="37"/>
      <c r="AG464" s="37"/>
      <c r="AH464" s="37"/>
    </row>
    <row r="465" spans="2:34">
      <c r="B465" t="s">
        <v>665</v>
      </c>
      <c r="D465" s="37">
        <f t="shared" si="7"/>
        <v>0.50347222222222221</v>
      </c>
      <c r="E465" s="37">
        <f t="shared" si="8"/>
        <v>0.50347222222222221</v>
      </c>
      <c r="F465" s="36">
        <f t="shared" si="9"/>
        <v>0.60624999999999996</v>
      </c>
      <c r="G465" s="36">
        <f t="shared" si="10"/>
        <v>0.60624999999999996</v>
      </c>
      <c r="H465" s="30" t="s">
        <v>29</v>
      </c>
      <c r="I465" s="37">
        <f t="shared" si="11"/>
        <v>0.51388888888888884</v>
      </c>
      <c r="J465" s="30" t="s">
        <v>29</v>
      </c>
      <c r="K465" s="36">
        <f t="shared" si="12"/>
        <v>0.59930555555555554</v>
      </c>
      <c r="L465" s="28" t="s">
        <v>196</v>
      </c>
      <c r="M465" s="36">
        <v>0.55555555555555558</v>
      </c>
      <c r="N465" s="37">
        <f t="shared" ref="N465:N468" si="15">M465+AB465</f>
        <v>0.59375</v>
      </c>
      <c r="O465" s="37">
        <f t="shared" si="13"/>
        <v>7.2916666666666644E-2</v>
      </c>
      <c r="P465">
        <v>39.299999999999997</v>
      </c>
      <c r="Q465" s="36">
        <f t="shared" si="14"/>
        <v>0.10277777777777775</v>
      </c>
      <c r="R465" s="37"/>
      <c r="S465"/>
      <c r="T465"/>
      <c r="U465"/>
      <c r="V465"/>
      <c r="W465" s="30" t="s">
        <v>164</v>
      </c>
      <c r="X465" s="37">
        <v>5.2083333333333336E-2</v>
      </c>
      <c r="Y465" s="37">
        <v>1.2500000000000001E-2</v>
      </c>
      <c r="Z465" s="37">
        <v>1.0416666666666666E-2</v>
      </c>
      <c r="AA465" s="37">
        <v>5.5555555555555558E-3</v>
      </c>
      <c r="AB465" s="37">
        <v>3.8194444444444448E-2</v>
      </c>
      <c r="AC465" s="37">
        <v>3.4722222222222224E-2</v>
      </c>
      <c r="AD465" s="37"/>
      <c r="AE465" s="37"/>
      <c r="AF465" s="37"/>
      <c r="AG465" s="37"/>
      <c r="AH465" s="37"/>
    </row>
    <row r="466" spans="2:34">
      <c r="B466" t="s">
        <v>666</v>
      </c>
      <c r="D466" s="37">
        <f t="shared" si="7"/>
        <v>0.55555555555555547</v>
      </c>
      <c r="E466" s="37">
        <f t="shared" si="8"/>
        <v>0.55555555555555547</v>
      </c>
      <c r="F466" s="36">
        <f t="shared" si="9"/>
        <v>0.65833333333333321</v>
      </c>
      <c r="G466" s="36">
        <f t="shared" si="10"/>
        <v>0.65833333333333321</v>
      </c>
      <c r="H466" s="30" t="s">
        <v>29</v>
      </c>
      <c r="I466" s="37">
        <f t="shared" si="11"/>
        <v>0.5659722222222221</v>
      </c>
      <c r="J466" s="30" t="s">
        <v>29</v>
      </c>
      <c r="K466" s="36">
        <f t="shared" si="12"/>
        <v>0.6513888888888888</v>
      </c>
      <c r="L466" s="28" t="s">
        <v>196</v>
      </c>
      <c r="M466" s="36">
        <v>0.60763888888888884</v>
      </c>
      <c r="N466" s="37">
        <f t="shared" si="15"/>
        <v>0.64583333333333326</v>
      </c>
      <c r="O466" s="37">
        <f t="shared" si="13"/>
        <v>7.2916666666666644E-2</v>
      </c>
      <c r="P466">
        <v>39.299999999999997</v>
      </c>
      <c r="Q466" s="36">
        <f t="shared" si="14"/>
        <v>0.10277777777777775</v>
      </c>
      <c r="R466" s="37"/>
      <c r="S466"/>
      <c r="T466"/>
      <c r="U466"/>
      <c r="V466"/>
      <c r="W466" s="30" t="s">
        <v>164</v>
      </c>
      <c r="X466" s="37">
        <v>5.2083333333333336E-2</v>
      </c>
      <c r="Y466" s="37">
        <v>1.2500000000000001E-2</v>
      </c>
      <c r="Z466" s="37">
        <v>1.0416666666666666E-2</v>
      </c>
      <c r="AA466" s="37">
        <v>5.5555555555555558E-3</v>
      </c>
      <c r="AB466" s="37">
        <v>3.8194444444444448E-2</v>
      </c>
      <c r="AC466" s="37">
        <v>3.4722222222222224E-2</v>
      </c>
      <c r="AD466" s="37"/>
      <c r="AE466" s="37"/>
      <c r="AF466" s="37"/>
      <c r="AG466" s="37"/>
      <c r="AH466" s="37"/>
    </row>
    <row r="467" spans="2:34">
      <c r="B467" t="s">
        <v>667</v>
      </c>
      <c r="D467" s="37">
        <f t="shared" si="7"/>
        <v>0.60416666666666663</v>
      </c>
      <c r="E467" s="37">
        <f t="shared" si="8"/>
        <v>0.60416666666666663</v>
      </c>
      <c r="F467" s="36">
        <f t="shared" si="9"/>
        <v>0.70694444444444438</v>
      </c>
      <c r="G467" s="36">
        <f t="shared" si="10"/>
        <v>0.70694444444444438</v>
      </c>
      <c r="H467" s="30" t="s">
        <v>29</v>
      </c>
      <c r="I467" s="37">
        <f t="shared" si="11"/>
        <v>0.61458333333333326</v>
      </c>
      <c r="J467" s="30" t="s">
        <v>29</v>
      </c>
      <c r="K467" s="36">
        <f t="shared" si="12"/>
        <v>0.7</v>
      </c>
      <c r="L467" s="28" t="s">
        <v>196</v>
      </c>
      <c r="M467" s="36">
        <v>0.65625</v>
      </c>
      <c r="N467" s="37">
        <f t="shared" si="15"/>
        <v>0.69305555555555554</v>
      </c>
      <c r="O467" s="37">
        <f t="shared" si="13"/>
        <v>7.152777777777776E-2</v>
      </c>
      <c r="P467">
        <v>39.299999999999997</v>
      </c>
      <c r="Q467" s="36">
        <f t="shared" si="14"/>
        <v>0.10277777777777775</v>
      </c>
      <c r="R467" s="37"/>
      <c r="S467"/>
      <c r="T467"/>
      <c r="U467"/>
      <c r="V467"/>
      <c r="W467" s="30" t="s">
        <v>164</v>
      </c>
      <c r="X467" s="37">
        <v>5.2083333333333336E-2</v>
      </c>
      <c r="Y467" s="37">
        <v>1.3888888888888888E-2</v>
      </c>
      <c r="Z467" s="37">
        <v>1.0416666666666666E-2</v>
      </c>
      <c r="AA467" s="37">
        <v>6.9444444444444441E-3</v>
      </c>
      <c r="AB467" s="37">
        <v>3.6805555555555557E-2</v>
      </c>
      <c r="AC467" s="37">
        <v>3.4722222222222224E-2</v>
      </c>
      <c r="AD467" s="37"/>
      <c r="AE467" s="37"/>
      <c r="AF467" s="37"/>
      <c r="AG467" s="37"/>
      <c r="AH467" s="37"/>
    </row>
    <row r="468" spans="2:34">
      <c r="B468" t="s">
        <v>668</v>
      </c>
      <c r="D468" s="37">
        <f t="shared" si="7"/>
        <v>0.66666666666666663</v>
      </c>
      <c r="E468" s="37">
        <f t="shared" si="8"/>
        <v>0.66666666666666663</v>
      </c>
      <c r="F468" s="36">
        <f t="shared" si="9"/>
        <v>0.76944444444444438</v>
      </c>
      <c r="G468" s="36">
        <f t="shared" si="10"/>
        <v>0.76944444444444438</v>
      </c>
      <c r="H468" s="30" t="s">
        <v>29</v>
      </c>
      <c r="I468" s="37">
        <f t="shared" si="11"/>
        <v>0.67708333333333326</v>
      </c>
      <c r="J468" s="30" t="s">
        <v>29</v>
      </c>
      <c r="K468" s="36">
        <f t="shared" si="12"/>
        <v>0.76249999999999996</v>
      </c>
      <c r="L468" s="28" t="s">
        <v>196</v>
      </c>
      <c r="M468" s="36">
        <v>0.71875</v>
      </c>
      <c r="N468" s="37">
        <f t="shared" si="15"/>
        <v>0.75555555555555554</v>
      </c>
      <c r="O468" s="37">
        <f t="shared" si="13"/>
        <v>7.152777777777776E-2</v>
      </c>
      <c r="P468">
        <v>39.299999999999997</v>
      </c>
      <c r="Q468" s="36">
        <f t="shared" si="14"/>
        <v>0.10277777777777775</v>
      </c>
      <c r="R468" s="37"/>
      <c r="S468"/>
      <c r="T468"/>
      <c r="U468"/>
      <c r="V468"/>
      <c r="W468" s="30" t="s">
        <v>164</v>
      </c>
      <c r="X468" s="37">
        <v>5.2083333333333336E-2</v>
      </c>
      <c r="Y468" s="37">
        <v>1.3888888888888888E-2</v>
      </c>
      <c r="Z468" s="37">
        <v>1.0416666666666666E-2</v>
      </c>
      <c r="AA468" s="37">
        <v>6.9444444444444441E-3</v>
      </c>
      <c r="AB468" s="37">
        <v>3.6805555555555557E-2</v>
      </c>
      <c r="AC468" s="37">
        <v>3.4722222222222224E-2</v>
      </c>
      <c r="AD468" s="37"/>
      <c r="AE468" s="37"/>
      <c r="AF468" s="37"/>
      <c r="AG468" s="37"/>
      <c r="AH468" s="37"/>
    </row>
    <row r="469" spans="2:34">
      <c r="B469" t="s">
        <v>669</v>
      </c>
      <c r="D469" s="37">
        <f t="shared" si="7"/>
        <v>0.76736111111111105</v>
      </c>
      <c r="E469" s="37">
        <f t="shared" si="8"/>
        <v>0.76736111111111105</v>
      </c>
      <c r="F469" s="36">
        <f t="shared" si="9"/>
        <v>0.86805555555555547</v>
      </c>
      <c r="G469" s="36">
        <f t="shared" si="10"/>
        <v>0.86805555555555547</v>
      </c>
      <c r="H469" s="30" t="s">
        <v>29</v>
      </c>
      <c r="I469" s="37">
        <f t="shared" si="11"/>
        <v>0.77777777777777768</v>
      </c>
      <c r="J469" s="30" t="s">
        <v>29</v>
      </c>
      <c r="K469" s="36">
        <f t="shared" si="12"/>
        <v>0.86111111111111105</v>
      </c>
      <c r="L469" s="28" t="s">
        <v>196</v>
      </c>
      <c r="M469" s="36">
        <v>0.81944444444444442</v>
      </c>
      <c r="N469" s="37">
        <v>0.85416666666666663</v>
      </c>
      <c r="O469" s="37">
        <f t="shared" si="13"/>
        <v>6.9444444444444434E-2</v>
      </c>
      <c r="P469">
        <v>39.1</v>
      </c>
      <c r="Q469" s="36">
        <f t="shared" si="14"/>
        <v>0.10069444444444442</v>
      </c>
      <c r="R469" s="37"/>
      <c r="S469"/>
      <c r="T469"/>
      <c r="U469"/>
      <c r="V469"/>
      <c r="W469" s="30" t="s">
        <v>164</v>
      </c>
      <c r="X469" s="37">
        <v>5.2083333333333336E-2</v>
      </c>
      <c r="Y469" s="37">
        <v>1.3888888888888888E-2</v>
      </c>
      <c r="Z469" s="37">
        <v>1.0416666666666666E-2</v>
      </c>
      <c r="AA469" s="37">
        <v>6.9444444444444441E-3</v>
      </c>
      <c r="AB469" s="37">
        <v>3.6805555555555557E-2</v>
      </c>
      <c r="AC469" s="37">
        <v>3.4722222222222224E-2</v>
      </c>
      <c r="AD469" s="37"/>
      <c r="AE469" s="37"/>
      <c r="AF469" s="37"/>
      <c r="AG469" s="37"/>
      <c r="AH469" s="37"/>
    </row>
    <row r="470" spans="2:34">
      <c r="B470" s="152" t="s">
        <v>412</v>
      </c>
      <c r="D470" s="37" t="e">
        <f t="shared" ca="1" si="7"/>
        <v>#NAME?</v>
      </c>
      <c r="E470" s="37" t="e">
        <f t="shared" ca="1" si="8"/>
        <v>#NAME?</v>
      </c>
      <c r="F470" s="36" t="e">
        <f t="shared" ca="1" si="9"/>
        <v>#NAME?</v>
      </c>
      <c r="G470" s="36" t="e">
        <f t="shared" ca="1" si="10"/>
        <v>#NAME?</v>
      </c>
      <c r="H470" s="30" t="s">
        <v>29</v>
      </c>
      <c r="I470" s="37" t="e">
        <f t="shared" ca="1" si="11"/>
        <v>#NAME?</v>
      </c>
      <c r="J470" s="30" t="s">
        <v>29</v>
      </c>
      <c r="K470" s="37" t="e">
        <f t="shared" ca="1" si="12"/>
        <v>#NAME?</v>
      </c>
      <c r="L470" s="15" t="s">
        <v>213</v>
      </c>
      <c r="M470" s="36" t="e">
        <f ca="1">IF(印刷プレビュー!X13="空港 発 [リスト外1]             ",印刷プレビュー!Z13,IF(印刷プレビュー!X24="空港 発 [リスト外1]             ",印刷プレビュー!Z24,IF(印刷プレビュー!X35="空港 発 [リスト外1]             ",印刷プレビュー!Z35,IF(印刷プレビュー!X43="空港 発 [リスト外1]             ",印刷プレビュー!Z43,IFVALUE("0:00")))))</f>
        <v>#NAME?</v>
      </c>
      <c r="N470" s="37" t="e">
        <f ca="1">M470+AB470</f>
        <v>#NAME?</v>
      </c>
      <c r="O470" s="37" t="e">
        <f t="shared" ca="1" si="13"/>
        <v>#NAME?</v>
      </c>
      <c r="P470" t="e">
        <f ca="1">IF($M$470&gt;$R$470,39.1,39.3)</f>
        <v>#NAME?</v>
      </c>
      <c r="Q470" s="36" t="e">
        <f t="shared" ca="1" si="14"/>
        <v>#NAME?</v>
      </c>
      <c r="R470" s="37">
        <v>0.8125</v>
      </c>
      <c r="S470" s="36">
        <v>0.625</v>
      </c>
      <c r="T470"/>
      <c r="U470" s="37"/>
      <c r="V470" s="36"/>
      <c r="W470" s="30" t="s">
        <v>164</v>
      </c>
      <c r="X470" s="37">
        <v>5.2083333333333336E-2</v>
      </c>
      <c r="Y470" s="37" t="e">
        <f ca="1">VALUE(IF($M$470&gt;$S470,"0:20","0:18"))</f>
        <v>#NAME?</v>
      </c>
      <c r="Z470" s="37">
        <v>1.0416666666666666E-2</v>
      </c>
      <c r="AA470" s="37" t="e">
        <f ca="1">VALUE(IF($M$470&gt;$S470,"0:10","0:08"))</f>
        <v>#NAME?</v>
      </c>
      <c r="AB470" s="37" t="e">
        <f ca="1">VALUE(IF($M$470&lt;$S470,"0:55",IF(AND($M$470&gt;$S470,$M$470&lt;$R470),"0:53","0:50")))</f>
        <v>#NAME?</v>
      </c>
      <c r="AC470" s="37">
        <v>3.4722222222222224E-2</v>
      </c>
      <c r="AD470" s="37"/>
      <c r="AE470" s="37"/>
      <c r="AF470" s="37"/>
      <c r="AG470" s="37"/>
      <c r="AH470" s="37"/>
    </row>
    <row r="471" spans="2:34">
      <c r="B471" s="152" t="s">
        <v>413</v>
      </c>
      <c r="D471" s="37" t="e">
        <f t="shared" ca="1" si="7"/>
        <v>#NAME?</v>
      </c>
      <c r="E471" s="37" t="e">
        <f t="shared" ca="1" si="8"/>
        <v>#NAME?</v>
      </c>
      <c r="F471" s="36" t="e">
        <f t="shared" ca="1" si="9"/>
        <v>#NAME?</v>
      </c>
      <c r="G471" s="36" t="e">
        <f t="shared" ca="1" si="10"/>
        <v>#NAME?</v>
      </c>
      <c r="H471" s="30" t="s">
        <v>29</v>
      </c>
      <c r="I471" s="37" t="e">
        <f t="shared" ca="1" si="11"/>
        <v>#NAME?</v>
      </c>
      <c r="J471" s="30" t="s">
        <v>29</v>
      </c>
      <c r="K471" s="37" t="e">
        <f t="shared" ca="1" si="12"/>
        <v>#NAME?</v>
      </c>
      <c r="L471" s="15" t="s">
        <v>213</v>
      </c>
      <c r="M471" s="36" t="e">
        <f ca="1">IF(印刷プレビュー!X24="空港 発 [リスト外2]             ",印刷プレビュー!Z24,IF(印刷プレビュー!X35="空港 発 [リスト外2]             ",印刷プレビュー!Z35,IF(印刷プレビュー!X43="空港 発 [リスト外2]             ",印刷プレビュー!Z43,IFVALUE("0:00"))))</f>
        <v>#NAME?</v>
      </c>
      <c r="N471" s="37" t="e">
        <f ca="1">M471+AB471</f>
        <v>#NAME?</v>
      </c>
      <c r="O471" s="37" t="e">
        <f t="shared" ca="1" si="13"/>
        <v>#NAME?</v>
      </c>
      <c r="P471" t="e">
        <f ca="1">IF($M$471&gt;$R$471,39.1,39.3)</f>
        <v>#NAME?</v>
      </c>
      <c r="Q471" s="36" t="e">
        <f t="shared" ca="1" si="14"/>
        <v>#NAME?</v>
      </c>
      <c r="R471" s="37">
        <v>0.8125</v>
      </c>
      <c r="S471" s="36">
        <v>0.625</v>
      </c>
      <c r="T471"/>
      <c r="U471" s="37"/>
      <c r="V471" s="36"/>
      <c r="W471" s="30" t="s">
        <v>164</v>
      </c>
      <c r="X471" s="37">
        <v>5.2083333333333336E-2</v>
      </c>
      <c r="Y471" s="37" t="e">
        <f ca="1">VALUE(IF($M$471&gt;$S471,"0:20","0:18"))</f>
        <v>#NAME?</v>
      </c>
      <c r="Z471" s="37">
        <v>1.0416666666666666E-2</v>
      </c>
      <c r="AA471" s="37" t="e">
        <f ca="1">VALUE(IF($M$471&gt;$S471,"0:10","0:08"))</f>
        <v>#NAME?</v>
      </c>
      <c r="AB471" s="37" t="e">
        <f ca="1">VALUE(IF($M$471&lt;$S471,"0:55",IF(AND($M$471&gt;$S471,$M$471&lt;$R471),"0:53","0:50")))</f>
        <v>#NAME?</v>
      </c>
      <c r="AC471" s="37">
        <v>3.4722222222222224E-2</v>
      </c>
      <c r="AD471" s="37"/>
      <c r="AE471" s="37"/>
      <c r="AF471" s="37"/>
      <c r="AG471" s="37"/>
      <c r="AH471" s="37"/>
    </row>
    <row r="472" spans="2:34">
      <c r="B472" s="127"/>
      <c r="H472" s="30"/>
      <c r="J472" s="30"/>
      <c r="L472" s="28"/>
      <c r="P472" s="39"/>
      <c r="Q472" s="36"/>
      <c r="R472" s="153" t="s">
        <v>670</v>
      </c>
      <c r="S472" s="153" t="s">
        <v>671</v>
      </c>
      <c r="T472"/>
      <c r="U472"/>
      <c r="V472"/>
      <c r="W472" s="30"/>
      <c r="X472" s="30"/>
      <c r="Y472" s="30"/>
      <c r="Z472" s="30"/>
      <c r="AA472" s="30"/>
      <c r="AB472" s="30"/>
      <c r="AC472" s="30"/>
    </row>
    <row r="473" spans="2:34">
      <c r="B473" s="127"/>
      <c r="H473" s="30"/>
      <c r="J473" s="30"/>
      <c r="L473" s="28"/>
      <c r="P473" s="39"/>
      <c r="Q473" s="36"/>
      <c r="R473" s="37"/>
      <c r="S473"/>
      <c r="T473"/>
      <c r="U473"/>
      <c r="V473"/>
      <c r="W473" s="30"/>
      <c r="X473" s="30"/>
      <c r="Y473" s="30"/>
      <c r="Z473" s="30"/>
      <c r="AA473" s="30"/>
      <c r="AB473" s="30"/>
      <c r="AC473" s="30"/>
    </row>
    <row r="474" spans="2:34">
      <c r="B474" s="44"/>
      <c r="C474" s="45"/>
      <c r="H474" s="30"/>
      <c r="I474" s="38"/>
      <c r="J474" s="30"/>
      <c r="K474" s="38"/>
      <c r="L474" s="29"/>
      <c r="M474" s="31"/>
      <c r="N474" s="38"/>
      <c r="O474" s="31"/>
      <c r="P474" s="39"/>
      <c r="Q474" s="36"/>
    </row>
    <row r="475" spans="2:34">
      <c r="B475" s="44"/>
      <c r="C475" s="45"/>
      <c r="H475" s="30"/>
      <c r="I475" s="38"/>
      <c r="J475" s="30"/>
      <c r="K475" s="38"/>
      <c r="L475" s="29"/>
      <c r="M475" s="31"/>
      <c r="N475" s="38"/>
      <c r="O475" s="31"/>
      <c r="P475" s="39"/>
      <c r="Q475" s="36"/>
    </row>
    <row r="476" spans="2:34">
      <c r="B476" s="44"/>
      <c r="C476" s="45"/>
      <c r="H476" s="30"/>
      <c r="I476" s="38"/>
      <c r="J476" s="30"/>
      <c r="K476" s="38"/>
      <c r="L476" s="29"/>
      <c r="M476" s="31"/>
      <c r="N476" s="38"/>
      <c r="O476" s="31"/>
      <c r="P476" s="39"/>
      <c r="Q476" s="36"/>
    </row>
    <row r="477" spans="2:34">
      <c r="B477" s="44"/>
      <c r="C477" s="45"/>
      <c r="H477" s="30"/>
      <c r="I477" s="38"/>
      <c r="J477" s="30"/>
      <c r="K477" s="38"/>
      <c r="L477" s="29"/>
      <c r="M477" s="31"/>
      <c r="N477" s="38"/>
      <c r="O477" s="31"/>
      <c r="P477" s="39"/>
      <c r="Q477" s="36"/>
      <c r="R477" s="37"/>
      <c r="S477"/>
      <c r="T477"/>
      <c r="U477"/>
      <c r="V477"/>
      <c r="W477"/>
      <c r="X477"/>
      <c r="Y477"/>
      <c r="Z477"/>
      <c r="AA477"/>
      <c r="AB477"/>
      <c r="AC477"/>
    </row>
    <row r="478" spans="2:34">
      <c r="B478" s="44"/>
      <c r="C478" s="45"/>
      <c r="H478" s="30"/>
      <c r="I478" s="38"/>
      <c r="J478" s="30"/>
      <c r="K478" s="38"/>
      <c r="L478" s="29"/>
      <c r="M478" s="31"/>
      <c r="N478" s="38"/>
      <c r="O478" s="31"/>
      <c r="P478" s="39"/>
      <c r="Q478" s="36"/>
      <c r="R478" s="37"/>
      <c r="S478"/>
      <c r="T478"/>
      <c r="U478"/>
      <c r="V478"/>
      <c r="W478"/>
      <c r="X478"/>
      <c r="Y478"/>
      <c r="Z478"/>
      <c r="AA478"/>
      <c r="AB478"/>
      <c r="AC478"/>
    </row>
    <row r="479" spans="2:34">
      <c r="B479" s="44"/>
      <c r="C479" s="45"/>
      <c r="H479" s="30"/>
      <c r="I479" s="38"/>
      <c r="J479" s="30"/>
      <c r="K479" s="38"/>
      <c r="L479" s="29"/>
      <c r="M479" s="31"/>
      <c r="N479" s="38"/>
      <c r="O479" s="31"/>
      <c r="P479" s="39"/>
      <c r="Q479" s="36"/>
      <c r="R479" s="37"/>
      <c r="S479"/>
      <c r="T479"/>
      <c r="U479"/>
      <c r="V479"/>
      <c r="W479"/>
      <c r="X479"/>
      <c r="Y479"/>
      <c r="Z479"/>
      <c r="AA479"/>
      <c r="AB479"/>
      <c r="AC479"/>
    </row>
    <row r="480" spans="2:34">
      <c r="B480" s="44"/>
      <c r="C480" s="45"/>
      <c r="H480" s="30"/>
      <c r="I480" s="38"/>
      <c r="J480" s="30"/>
      <c r="K480" s="38"/>
      <c r="L480" s="29"/>
      <c r="M480" s="31"/>
      <c r="N480" s="38"/>
      <c r="O480" s="31"/>
      <c r="P480" s="39"/>
      <c r="Q480" s="36"/>
      <c r="R480" s="37"/>
      <c r="S480"/>
      <c r="T480"/>
      <c r="U480"/>
      <c r="V480"/>
      <c r="W480"/>
      <c r="X480"/>
      <c r="Y480"/>
      <c r="Z480"/>
      <c r="AA480"/>
      <c r="AB480"/>
      <c r="AC480"/>
    </row>
    <row r="481" spans="2:29">
      <c r="B481" s="44"/>
      <c r="C481" s="45"/>
      <c r="D481" s="31"/>
      <c r="E481" s="31"/>
      <c r="F481" s="31"/>
      <c r="G481" s="31"/>
      <c r="H481" s="30"/>
      <c r="I481" s="31"/>
      <c r="J481" s="30"/>
      <c r="K481" s="31"/>
      <c r="L481" s="30"/>
      <c r="M481" s="31"/>
      <c r="N481" s="31"/>
      <c r="O481" s="31"/>
      <c r="P481" s="40"/>
      <c r="Q481" s="31"/>
      <c r="R481" s="37"/>
      <c r="S481"/>
      <c r="T481"/>
      <c r="U481"/>
      <c r="V481"/>
      <c r="W481"/>
      <c r="X481"/>
      <c r="Y481"/>
      <c r="Z481"/>
      <c r="AA481"/>
      <c r="AB481"/>
      <c r="AC481"/>
    </row>
    <row r="482" spans="2:29">
      <c r="R482" s="37"/>
      <c r="S482"/>
      <c r="T482"/>
      <c r="U482"/>
      <c r="V482"/>
      <c r="W482"/>
      <c r="X482"/>
      <c r="Y482"/>
      <c r="Z482"/>
      <c r="AA482"/>
      <c r="AB482"/>
      <c r="AC482"/>
    </row>
    <row r="483" spans="2:29">
      <c r="B483" s="44"/>
      <c r="C483" s="26"/>
      <c r="H483" s="30"/>
      <c r="I483" s="38"/>
      <c r="J483" s="30"/>
      <c r="K483" s="31"/>
      <c r="L483" s="28"/>
      <c r="M483" s="31"/>
      <c r="N483" s="38"/>
      <c r="O483" s="31"/>
      <c r="P483" s="39"/>
      <c r="Q483" s="36"/>
      <c r="R483" s="37"/>
      <c r="S483"/>
      <c r="T483"/>
      <c r="U483"/>
      <c r="V483"/>
      <c r="W483"/>
      <c r="X483"/>
      <c r="Y483"/>
      <c r="Z483"/>
      <c r="AA483"/>
      <c r="AB483"/>
      <c r="AC483"/>
    </row>
    <row r="484" spans="2:29">
      <c r="B484" s="44"/>
      <c r="C484" s="26"/>
      <c r="H484" s="30"/>
      <c r="I484" s="38"/>
      <c r="J484" s="30"/>
      <c r="K484" s="31"/>
      <c r="L484" s="28"/>
      <c r="M484" s="31"/>
      <c r="N484" s="38"/>
      <c r="O484" s="31"/>
      <c r="P484" s="39"/>
      <c r="Q484" s="36"/>
      <c r="R484" s="37"/>
      <c r="S484"/>
      <c r="T484"/>
      <c r="U484"/>
      <c r="V484"/>
      <c r="W484"/>
      <c r="X484"/>
      <c r="Y484"/>
      <c r="Z484"/>
      <c r="AA484"/>
      <c r="AB484"/>
      <c r="AC484"/>
    </row>
    <row r="485" spans="2:29">
      <c r="B485" s="44"/>
      <c r="C485" s="26"/>
      <c r="H485" s="30"/>
      <c r="I485" s="38"/>
      <c r="J485" s="30"/>
      <c r="K485" s="31"/>
      <c r="L485" s="28"/>
      <c r="M485" s="31"/>
      <c r="N485" s="38"/>
      <c r="O485" s="31"/>
      <c r="P485" s="39"/>
      <c r="Q485" s="36"/>
      <c r="R485" s="37"/>
      <c r="S485"/>
      <c r="T485"/>
      <c r="U485"/>
      <c r="V485"/>
      <c r="W485" s="30"/>
      <c r="X485" s="30"/>
      <c r="Y485" s="30"/>
      <c r="Z485" s="30"/>
      <c r="AA485" s="30"/>
      <c r="AB485" s="30"/>
      <c r="AC485" s="30"/>
    </row>
    <row r="486" spans="2:29">
      <c r="B486" s="44"/>
      <c r="C486" s="26"/>
      <c r="H486" s="30"/>
      <c r="I486" s="38"/>
      <c r="J486" s="30"/>
      <c r="K486" s="31"/>
      <c r="L486" s="28"/>
      <c r="M486" s="31"/>
      <c r="N486" s="38"/>
      <c r="O486" s="31"/>
      <c r="P486" s="39"/>
      <c r="Q486" s="36"/>
      <c r="R486" s="37"/>
      <c r="S486"/>
      <c r="T486"/>
      <c r="U486"/>
      <c r="V486"/>
      <c r="W486" s="30"/>
      <c r="X486" s="30"/>
      <c r="Y486" s="30"/>
      <c r="Z486" s="30"/>
      <c r="AA486" s="30"/>
      <c r="AB486" s="30"/>
      <c r="AC486" s="30"/>
    </row>
    <row r="487" spans="2:29">
      <c r="B487" s="47"/>
      <c r="C487" s="45"/>
      <c r="H487" s="30"/>
      <c r="I487" s="38"/>
      <c r="J487" s="30"/>
      <c r="K487" s="38"/>
      <c r="L487" s="29"/>
      <c r="M487" s="31"/>
      <c r="N487" s="38"/>
      <c r="O487" s="31"/>
      <c r="P487" s="39"/>
      <c r="Q487" s="36"/>
    </row>
    <row r="489" spans="2:29">
      <c r="B489" s="47"/>
      <c r="C489" s="47"/>
      <c r="H489" s="30"/>
      <c r="I489" s="38"/>
      <c r="J489" s="30"/>
      <c r="K489" s="38"/>
      <c r="L489" s="29"/>
      <c r="M489" s="31"/>
      <c r="N489" s="38"/>
      <c r="O489" s="31"/>
      <c r="P489" s="39"/>
      <c r="Q489" s="36"/>
    </row>
    <row r="490" spans="2:29">
      <c r="B490" s="47"/>
      <c r="C490" s="26"/>
      <c r="H490" s="30"/>
      <c r="I490" s="38"/>
      <c r="J490" s="30"/>
      <c r="K490" s="38"/>
      <c r="L490" s="29"/>
      <c r="M490" s="31"/>
      <c r="N490" s="38"/>
      <c r="O490" s="31"/>
      <c r="P490" s="39"/>
      <c r="Q490" s="36"/>
    </row>
    <row r="491" spans="2:29">
      <c r="B491" s="47"/>
      <c r="C491" s="47"/>
      <c r="H491" s="30"/>
      <c r="I491" s="38"/>
      <c r="J491" s="30"/>
      <c r="K491" s="38"/>
      <c r="L491" s="29"/>
      <c r="M491" s="31"/>
      <c r="N491" s="38"/>
      <c r="O491" s="31"/>
      <c r="P491" s="39"/>
      <c r="Q491" s="36"/>
    </row>
    <row r="492" spans="2:29">
      <c r="B492" s="47"/>
      <c r="C492" s="26"/>
      <c r="H492" s="30"/>
      <c r="I492" s="38"/>
      <c r="J492" s="30"/>
      <c r="K492" s="38"/>
      <c r="L492" s="29"/>
      <c r="M492" s="31"/>
      <c r="N492" s="38"/>
      <c r="O492" s="31"/>
      <c r="P492" s="39"/>
      <c r="Q492" s="36"/>
    </row>
    <row r="493" spans="2:29">
      <c r="B493" s="47"/>
      <c r="C493" s="45"/>
      <c r="H493" s="30"/>
      <c r="I493" s="38"/>
      <c r="J493" s="30"/>
      <c r="K493" s="38"/>
      <c r="L493" s="29"/>
      <c r="M493" s="31"/>
      <c r="N493" s="38"/>
      <c r="O493" s="31"/>
      <c r="P493" s="39"/>
      <c r="Q493" s="36"/>
    </row>
    <row r="495" spans="2:29">
      <c r="B495" s="47"/>
      <c r="C495" s="26"/>
      <c r="H495" s="30"/>
      <c r="I495" s="38"/>
      <c r="J495" s="30"/>
      <c r="K495" s="38"/>
      <c r="L495" s="28"/>
      <c r="M495" s="31"/>
      <c r="N495" s="38"/>
      <c r="O495" s="31"/>
      <c r="P495" s="39"/>
      <c r="Q495" s="36"/>
    </row>
    <row r="497" spans="2:17">
      <c r="B497" s="47"/>
      <c r="C497" s="47"/>
      <c r="H497" s="30"/>
      <c r="I497" s="38"/>
      <c r="J497" s="30"/>
      <c r="K497" s="38"/>
      <c r="L497" s="28"/>
      <c r="M497" s="31"/>
      <c r="N497" s="38"/>
      <c r="O497" s="31"/>
      <c r="P497" s="39"/>
      <c r="Q497" s="36"/>
    </row>
    <row r="499" spans="2:17">
      <c r="B499" s="47"/>
      <c r="C499" s="47"/>
      <c r="H499" s="30"/>
      <c r="I499" s="38"/>
      <c r="J499" s="30"/>
      <c r="K499" s="38"/>
      <c r="L499" s="28"/>
      <c r="M499" s="31"/>
      <c r="N499" s="38"/>
      <c r="O499" s="31"/>
      <c r="P499" s="39"/>
      <c r="Q499" s="36"/>
    </row>
    <row r="501" spans="2:17">
      <c r="B501" s="47"/>
      <c r="C501" s="47"/>
      <c r="F501" s="31"/>
      <c r="G501" s="31"/>
      <c r="H501" s="30"/>
      <c r="I501" s="38"/>
      <c r="J501" s="30"/>
      <c r="K501" s="38"/>
      <c r="L501" s="28"/>
      <c r="M501" s="31"/>
      <c r="N501" s="31"/>
      <c r="O501" s="31"/>
      <c r="P501" s="39"/>
      <c r="Q501" s="31"/>
    </row>
  </sheetData>
  <phoneticPr fontId="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E0C6A-36D7-4E35-929B-F3877019201A}">
  <sheetPr codeName="Sheet3"/>
  <dimension ref="A2:AE53"/>
  <sheetViews>
    <sheetView showWhiteSpace="0" zoomScaleNormal="100" workbookViewId="0">
      <selection activeCell="D3" sqref="D3"/>
    </sheetView>
  </sheetViews>
  <sheetFormatPr defaultRowHeight="13"/>
  <cols>
    <col min="4" max="7" width="9" style="37"/>
    <col min="9" max="11" width="9" style="37"/>
    <col min="13" max="15" width="9" style="37"/>
    <col min="17" max="17" width="9" style="37"/>
    <col min="18" max="18" width="9" style="86"/>
    <col min="19" max="22" width="9" style="37"/>
    <col min="26" max="26" width="9" customWidth="1"/>
  </cols>
  <sheetData>
    <row r="2" spans="1:31">
      <c r="A2" t="s">
        <v>54</v>
      </c>
      <c r="Z2" s="27" t="s">
        <v>195</v>
      </c>
    </row>
    <row r="3" spans="1:31" s="30" customFormat="1">
      <c r="B3" s="50" t="e">
        <f ca="1">IF(印刷プレビュー!$X$8="","",印刷プレビュー!$X$8)</f>
        <v>#VALUE!</v>
      </c>
      <c r="D3" s="38" t="e">
        <f ca="1">VALUE(IF(印刷プレビュー!$X$8="","",VLOOKUP(印刷プレビュー!$X$8,データシート!$B$70:AC475,3,FALSE)))</f>
        <v>#VALUE!</v>
      </c>
      <c r="E3" s="38" t="e">
        <f ca="1">VALUE(IF(印刷プレビュー!$X$8="","",VLOOKUP(印刷プレビュー!$X$8,データシート!$B$70:AD475,4,FALSE)))</f>
        <v>#VALUE!</v>
      </c>
      <c r="F3" s="38" t="e">
        <f ca="1">VALUE(IF(印刷プレビュー!$X$8="","",VLOOKUP(印刷プレビュー!$X$8,データシート!$B$70:AE475,5,FALSE)))</f>
        <v>#VALUE!</v>
      </c>
      <c r="G3" s="31" t="e">
        <f ca="1">VALUE(IF(印刷プレビュー!$X$8="","",VLOOKUP(印刷プレビュー!$X$8,データシート!$B$70:AF475,6,FALSE)))</f>
        <v>#VALUE!</v>
      </c>
      <c r="H3" s="38" t="e">
        <f ca="1">IF(印刷プレビュー!$X$8="","",VLOOKUP(印刷プレビュー!$X$8,データシート!$B$70:AG475,7,FALSE))</f>
        <v>#VALUE!</v>
      </c>
      <c r="I3" s="38" t="e">
        <f ca="1">VALUE(IF(印刷プレビュー!$X$8="","",VLOOKUP(印刷プレビュー!$X$8,データシート!$B$70:AH475,8,FALSE)))</f>
        <v>#VALUE!</v>
      </c>
      <c r="J3" s="38" t="e">
        <f ca="1">IF(印刷プレビュー!$X$8="","",VLOOKUP(印刷プレビュー!$X$8,データシート!$B$70:AI475,9,FALSE))</f>
        <v>#VALUE!</v>
      </c>
      <c r="K3" s="38" t="e">
        <f ca="1">IF(印刷プレビュー!$X$8="","",VLOOKUP(印刷プレビュー!$X$8,データシート!$B$70:AJ475,10,FALSE))</f>
        <v>#VALUE!</v>
      </c>
      <c r="L3" s="30" t="e">
        <f ca="1">IF(印刷プレビュー!$X$8="","",VLOOKUP(印刷プレビュー!$X$8,データシート!$B$70:AK475,11,FALSE))</f>
        <v>#VALUE!</v>
      </c>
      <c r="M3" s="38" t="e">
        <f ca="1">VALUE(IF(印刷プレビュー!$X$8="","",VLOOKUP(印刷プレビュー!$X$8,データシート!$B$70:AL475,12,FALSE)))</f>
        <v>#VALUE!</v>
      </c>
      <c r="N3" s="38" t="e">
        <f ca="1">VALUE(IF(印刷プレビュー!$X$8="","",VLOOKUP(印刷プレビュー!$X$8,データシート!$B$70:AM475,13,FALSE)))</f>
        <v>#VALUE!</v>
      </c>
      <c r="O3" s="38" t="e">
        <f ca="1">VALUE(IF(印刷プレビュー!$X$8="","",VLOOKUP(印刷プレビュー!$X$8,データシート!$B$70:AN475,14,FALSE)))</f>
        <v>#VALUE!</v>
      </c>
      <c r="P3" s="40" t="e">
        <f ca="1">IF(印刷プレビュー!$X$8="","",VLOOKUP(印刷プレビュー!$X$8,データシート!$B$70:AO475,15,FALSE))</f>
        <v>#VALUE!</v>
      </c>
      <c r="Q3" s="38" t="e">
        <f ca="1">VALUE(IF(印刷プレビュー!$X$8="","",VLOOKUP(印刷プレビュー!$X$8,データシート!$B$70:AP475,16,FALSE)))</f>
        <v>#VALUE!</v>
      </c>
      <c r="R3" s="72" t="e">
        <f ca="1">IF(印刷プレビュー!$X$8="","",VLOOKUP(印刷プレビュー!$X$8,データシート!$B$70:AQ475,17,FALSE))</f>
        <v>#VALUE!</v>
      </c>
      <c r="S3" s="38" t="e">
        <f ca="1">IF(印刷プレビュー!$X$8="","",VLOOKUP(印刷プレビュー!$X$8,データシート!$B$70:AR475,18,FALSE))</f>
        <v>#VALUE!</v>
      </c>
      <c r="T3" s="38" t="e">
        <f ca="1">IF(印刷プレビュー!$X$8="","",VLOOKUP(印刷プレビュー!$X$8,データシート!$B$70:AS475,19,FALSE))</f>
        <v>#VALUE!</v>
      </c>
      <c r="U3" s="38" t="e">
        <f ca="1">IF(印刷プレビュー!$X$8="","",VLOOKUP(印刷プレビュー!$X$8,データシート!$B$70:AT475,20,FALSE))</f>
        <v>#VALUE!</v>
      </c>
      <c r="V3" s="38" t="e">
        <f ca="1">IF(印刷プレビュー!$X$8="","",VLOOKUP(印刷プレビュー!$X$8,データシート!$B$70:AU475,21,FALSE))</f>
        <v>#VALUE!</v>
      </c>
      <c r="W3" s="38" t="e">
        <f ca="1">IF(印刷プレビュー!$X$8="","",VLOOKUP(印刷プレビュー!$X$8,データシート!$B$70:AV475,22,FALSE))</f>
        <v>#VALUE!</v>
      </c>
      <c r="X3" s="38" t="e">
        <f ca="1">VALUE(IF(Z3&gt;0,F3-D3-Z3,F3-D3))</f>
        <v>#VALUE!</v>
      </c>
      <c r="Y3" s="38" t="e">
        <f ca="1">Q3</f>
        <v>#VALUE!</v>
      </c>
      <c r="Z3" s="38" t="e">
        <f ca="1">T3-S3</f>
        <v>#VALUE!</v>
      </c>
    </row>
    <row r="4" spans="1:31">
      <c r="A4" t="s">
        <v>79</v>
      </c>
      <c r="B4" s="2"/>
    </row>
    <row r="5" spans="1:31">
      <c r="B5" s="27" t="s">
        <v>23</v>
      </c>
      <c r="C5" s="27" t="s">
        <v>39</v>
      </c>
      <c r="D5" s="37" t="s">
        <v>22</v>
      </c>
      <c r="E5" s="37" t="s">
        <v>21</v>
      </c>
      <c r="F5" s="37" t="s">
        <v>2</v>
      </c>
      <c r="G5" s="37" t="s">
        <v>21</v>
      </c>
      <c r="H5" s="15" t="s">
        <v>24</v>
      </c>
      <c r="I5" s="37" t="s">
        <v>26</v>
      </c>
      <c r="J5" s="37" t="s">
        <v>25</v>
      </c>
      <c r="K5" s="37" t="s">
        <v>27</v>
      </c>
      <c r="L5" t="s">
        <v>28</v>
      </c>
      <c r="M5" s="37" t="s">
        <v>30</v>
      </c>
      <c r="N5" s="37" t="s">
        <v>31</v>
      </c>
      <c r="O5" s="37" t="s">
        <v>32</v>
      </c>
      <c r="P5" t="s">
        <v>33</v>
      </c>
      <c r="Q5" s="37" t="s">
        <v>43</v>
      </c>
      <c r="R5" s="86" t="s">
        <v>154</v>
      </c>
      <c r="S5" s="37" t="s">
        <v>34</v>
      </c>
      <c r="T5" s="37" t="s">
        <v>35</v>
      </c>
      <c r="U5" s="37" t="s">
        <v>36</v>
      </c>
      <c r="V5" s="37" t="s">
        <v>37</v>
      </c>
      <c r="W5" s="15" t="s">
        <v>100</v>
      </c>
      <c r="X5" s="71" t="s">
        <v>114</v>
      </c>
      <c r="Y5" s="71" t="s">
        <v>113</v>
      </c>
      <c r="Z5" s="37" t="s">
        <v>103</v>
      </c>
      <c r="AA5" t="s">
        <v>119</v>
      </c>
      <c r="AB5" s="37" t="s">
        <v>125</v>
      </c>
      <c r="AD5" s="27"/>
      <c r="AE5" s="80"/>
    </row>
    <row r="6" spans="1:31">
      <c r="A6" s="34"/>
      <c r="B6" s="191" t="str">
        <f>IF(印刷プレビュー!X13="","",印刷プレビュー!X13)</f>
        <v/>
      </c>
      <c r="C6" s="191"/>
      <c r="D6" s="38" t="str">
        <f>IF(印刷プレビュー!$X13="","",VLOOKUP(印刷プレビュー!$X13,データシート!$B$70:AC475,3,FALSE))</f>
        <v/>
      </c>
      <c r="E6" s="38" t="str">
        <f>IF(印刷プレビュー!$X13="","",VLOOKUP(印刷プレビュー!$X13,データシート!$B$70:AD475,4,FALSE))</f>
        <v/>
      </c>
      <c r="F6" s="38" t="str">
        <f>IF(印刷プレビュー!$X13="","",VLOOKUP(印刷プレビュー!$X13,データシート!$B$70:AE475,5,FALSE))</f>
        <v/>
      </c>
      <c r="G6" s="38" t="str">
        <f>IF(印刷プレビュー!$X13="","",VLOOKUP(印刷プレビュー!$X13,データシート!$B$70:AF475,6,FALSE))</f>
        <v/>
      </c>
      <c r="H6" s="38" t="str">
        <f>IF(印刷プレビュー!Y11="YES","本    社",IF(印刷プレビュー!$X13="","",VLOOKUP(印刷プレビュー!$X13,データシート!$B$70:AG475,7,FALSE)))</f>
        <v/>
      </c>
      <c r="I6" s="38" t="str">
        <f>IF(印刷プレビュー!$X13="","",VLOOKUP(印刷プレビュー!$X13,データシート!$B$70:AH475,8,FALSE))</f>
        <v/>
      </c>
      <c r="J6" s="38" t="str">
        <f>IF(印刷プレビュー!$X13="","",VLOOKUP(印刷プレビュー!$X13,データシート!$B$70:AI475,9,FALSE))</f>
        <v/>
      </c>
      <c r="K6" s="38" t="str">
        <f>IF(印刷プレビュー!$X13="","",VLOOKUP(印刷プレビュー!$X13,データシート!$B$70:AJ475,10,FALSE))</f>
        <v/>
      </c>
      <c r="L6" s="30" t="str">
        <f>IF(印刷プレビュー!$X13="","",VLOOKUP(印刷プレビュー!$X13,データシート!$B$70:AK475,11,FALSE))</f>
        <v/>
      </c>
      <c r="M6" s="38" t="str">
        <f>IF(OR(W6="Y4",W6="Y5"),F3,IF(印刷プレビュー!$X13="","",VLOOKUP(印刷プレビュー!$X13,データシート!$B$70:AL475,12,FALSE)))</f>
        <v/>
      </c>
      <c r="N6" s="38" t="str">
        <f>IF(OR(W6="Y1",W6="Y2"),$D$3,IF(印刷プレビュー!$X13="","",VLOOKUP(印刷プレビュー!$X13,データシート!$B$70:AM475,13,FALSE)))</f>
        <v/>
      </c>
      <c r="O6" s="38" t="str">
        <f>IF(印刷プレビュー!$X13="","",VLOOKUP(印刷プレビュー!$X13,データシート!$B$70:AN475,14,FALSE))</f>
        <v/>
      </c>
      <c r="P6" s="30" t="str">
        <f>IF(印刷プレビュー!$X13="","",VLOOKUP(印刷プレビュー!$X13,データシート!$B$70:AO475,15,FALSE))</f>
        <v/>
      </c>
      <c r="Q6" s="38" t="str">
        <f>IF(印刷プレビュー!$X13="","",VLOOKUP(印刷プレビュー!$X13,データシート!$B$70:AP475,16,FALSE))</f>
        <v/>
      </c>
      <c r="R6" s="72" t="str">
        <f>IF(P6&lt;&gt;"","0.0",IF(印刷プレビュー!$X13="","",VLOOKUP(印刷プレビュー!$X13,データシート!$B$70:AQ475,17,FALSE)))</f>
        <v/>
      </c>
      <c r="S6" s="38" t="str">
        <f>IF(印刷プレビュー!$X13="","",VLOOKUP(印刷プレビュー!$X13,データシート!$B$70:AR475,18,FALSE))</f>
        <v/>
      </c>
      <c r="T6" s="38" t="str">
        <f>IF(印刷プレビュー!$X13="","",VLOOKUP(印刷プレビュー!$X13,データシート!$B$70:AS475,19,FALSE))</f>
        <v/>
      </c>
      <c r="U6" s="38" t="str">
        <f>IF(印刷プレビュー!$X13="","",VLOOKUP(印刷プレビュー!$X13,データシート!$B$70:AT475,20,FALSE))</f>
        <v/>
      </c>
      <c r="V6" s="38" t="str">
        <f>IF(印刷プレビュー!$X13="","",VLOOKUP(印刷プレビュー!$X13,データシート!$B$70:AU475,21,FALSE))</f>
        <v/>
      </c>
      <c r="W6" s="38" t="str">
        <f>IF(印刷プレビュー!$X13="","",VLOOKUP(印刷プレビュー!$X13,データシート!$B$70:AU475,22,FALSE))</f>
        <v/>
      </c>
      <c r="AD6" s="27"/>
    </row>
    <row r="7" spans="1:31">
      <c r="B7" s="191" t="str">
        <f>IF(印刷プレビュー!X14="","",印刷プレビュー!X14)</f>
        <v/>
      </c>
      <c r="C7" s="191"/>
      <c r="D7" s="38" t="str">
        <f>IF(印刷プレビュー!$X14="","",VLOOKUP(印刷プレビュー!$X14,データシート!$B$70:AC475,3,FALSE))</f>
        <v/>
      </c>
      <c r="E7" s="38" t="str">
        <f>IF(印刷プレビュー!$X14="","",VLOOKUP(印刷プレビュー!$X14,データシート!$B$70:AD475,4,FALSE))</f>
        <v/>
      </c>
      <c r="F7" s="38" t="str">
        <f>IF(印刷プレビュー!$X14="","",VLOOKUP(印刷プレビュー!$X14,データシート!$B$70:AE475,5,FALSE))</f>
        <v/>
      </c>
      <c r="G7" s="38" t="str">
        <f>IF(印刷プレビュー!$X14="","",VLOOKUP(印刷プレビュー!$X14,データシート!$B$70:AF475,6,FALSE))</f>
        <v/>
      </c>
      <c r="H7" s="38" t="str">
        <f>IF(印刷プレビュー!$X14="","",VLOOKUP(印刷プレビュー!$X14,データシート!$B$70:AG475,7,FALSE))</f>
        <v/>
      </c>
      <c r="I7" s="38" t="str">
        <f>IF(印刷プレビュー!$X14="","",VLOOKUP(印刷プレビュー!$X14,データシート!$B$70:AH475,8,FALSE))</f>
        <v/>
      </c>
      <c r="J7" s="38" t="str">
        <f>IF(印刷プレビュー!$X14="","",VLOOKUP(印刷プレビュー!$X14,データシート!$B$70:AI475,9,FALSE))</f>
        <v/>
      </c>
      <c r="K7" s="38" t="str">
        <f>IF(印刷プレビュー!$X14="","",VLOOKUP(印刷プレビュー!$X14,データシート!$B$70:AJ475,10,FALSE))</f>
        <v/>
      </c>
      <c r="L7" s="30" t="str">
        <f>IF(印刷プレビュー!$X14="","",VLOOKUP(印刷プレビュー!$X14,データシート!$B$70:AK475,11,FALSE))</f>
        <v/>
      </c>
      <c r="M7" s="38" t="str">
        <f>IF(印刷プレビュー!$X14="","",VLOOKUP(印刷プレビュー!$X14,データシート!$B$70:AL475,12,FALSE))</f>
        <v/>
      </c>
      <c r="N7" s="38" t="str">
        <f>IF(印刷プレビュー!$X14="","",VLOOKUP(印刷プレビュー!$X14,データシート!$B$70:AM475,13,FALSE))</f>
        <v/>
      </c>
      <c r="O7" s="38" t="str">
        <f>IF(印刷プレビュー!$X14="","",VLOOKUP(印刷プレビュー!$X14,データシート!$B$70:AN475,14,FALSE))</f>
        <v/>
      </c>
      <c r="P7" s="30" t="str">
        <f>IF(印刷プレビュー!$X14="","",VLOOKUP(印刷プレビュー!$X14,データシート!$B$70:AO475,15,FALSE))</f>
        <v/>
      </c>
      <c r="Q7" s="38" t="str">
        <f>IF(印刷プレビュー!$X14="","",VLOOKUP(印刷プレビュー!$X14,データシート!$B$70:AP475,16,FALSE))</f>
        <v/>
      </c>
      <c r="R7" s="72" t="str">
        <f>IF(P7&lt;&gt;"","0.0",IF(印刷プレビュー!$X14="","",VLOOKUP(印刷プレビュー!$X14,データシート!$B$70:AQ476,17,FALSE)))</f>
        <v/>
      </c>
      <c r="S7" s="38" t="str">
        <f>IF(印刷プレビュー!$X14="","",VLOOKUP(印刷プレビュー!$X14,データシート!$B$70:AR475,18,FALSE))</f>
        <v/>
      </c>
      <c r="T7" s="38" t="str">
        <f>IF(印刷プレビュー!$X14="","",VLOOKUP(印刷プレビュー!$X14,データシート!$B$70:AS475,19,FALSE))</f>
        <v/>
      </c>
      <c r="U7" s="38" t="str">
        <f>IF(印刷プレビュー!$X14="","",VLOOKUP(印刷プレビュー!$X14,データシート!$B$70:AT475,20,FALSE))</f>
        <v/>
      </c>
      <c r="V7" s="38" t="str">
        <f>IF(印刷プレビュー!$X14="","",VLOOKUP(印刷プレビュー!$X14,データシート!$B$70:AU475,21,FALSE))</f>
        <v/>
      </c>
      <c r="W7" s="38" t="str">
        <f>IF(印刷プレビュー!$X14="","",VLOOKUP(印刷プレビュー!$X14,データシート!$B$70:AU475,22,FALSE))</f>
        <v/>
      </c>
      <c r="AD7" s="27"/>
    </row>
    <row r="8" spans="1:31">
      <c r="B8" s="192" t="str">
        <f>IF(印刷プレビュー!X15="","",印刷プレビュー!X15)</f>
        <v/>
      </c>
      <c r="C8" s="192"/>
      <c r="D8" s="38" t="str">
        <f>IF(印刷プレビュー!$X15="","",VLOOKUP(印刷プレビュー!$X15,データシート!$B$70:AC475,3,FALSE))</f>
        <v/>
      </c>
      <c r="E8" s="38" t="str">
        <f>IF(印刷プレビュー!$X15="","",VLOOKUP(印刷プレビュー!$X15,データシート!$B$70:AD475,4,FALSE))</f>
        <v/>
      </c>
      <c r="F8" s="38" t="str">
        <f>IF(印刷プレビュー!$X15="","",VLOOKUP(印刷プレビュー!$X15,データシート!$B$70:AE475,5,FALSE))</f>
        <v/>
      </c>
      <c r="G8" s="38" t="str">
        <f>IF(印刷プレビュー!$X15="","",VLOOKUP(印刷プレビュー!$X15,データシート!$B$70:AF475,6,FALSE))</f>
        <v/>
      </c>
      <c r="H8" s="38" t="str">
        <f>IF(印刷プレビュー!$X15="","",VLOOKUP(印刷プレビュー!$X15,データシート!$B$70:AG475,7,FALSE))</f>
        <v/>
      </c>
      <c r="I8" s="38" t="str">
        <f>IF(印刷プレビュー!$X15="","",VLOOKUP(印刷プレビュー!$X15,データシート!$B$70:AH475,8,FALSE))</f>
        <v/>
      </c>
      <c r="J8" s="38" t="str">
        <f>IF(印刷プレビュー!$X15="","",VLOOKUP(印刷プレビュー!$X15,データシート!$B$70:AI475,9,FALSE))</f>
        <v/>
      </c>
      <c r="K8" s="38" t="str">
        <f>IF(印刷プレビュー!$X15="","",VLOOKUP(印刷プレビュー!$X15,データシート!$B$70:AJ475,10,FALSE))</f>
        <v/>
      </c>
      <c r="L8" s="30" t="str">
        <f>IF(印刷プレビュー!$X15="","",VLOOKUP(印刷プレビュー!$X15,データシート!$B$70:AK475,11,FALSE))</f>
        <v/>
      </c>
      <c r="M8" s="38" t="str">
        <f>IF(印刷プレビュー!$X15="","",VLOOKUP(印刷プレビュー!$X15,データシート!$B$70:AL475,12,FALSE))</f>
        <v/>
      </c>
      <c r="N8" s="38" t="str">
        <f>IF(印刷プレビュー!$X15="","",VLOOKUP(印刷プレビュー!$X15,データシート!$B$70:AM475,13,FALSE))</f>
        <v/>
      </c>
      <c r="O8" s="38" t="str">
        <f>IF(印刷プレビュー!$X15="","",VLOOKUP(印刷プレビュー!$X15,データシート!$B$70:AN475,14,FALSE))</f>
        <v/>
      </c>
      <c r="P8" s="30" t="str">
        <f>IF(印刷プレビュー!$X15="","",VLOOKUP(印刷プレビュー!$X15,データシート!$B$70:AO475,15,FALSE))</f>
        <v/>
      </c>
      <c r="Q8" s="38" t="str">
        <f>IF(印刷プレビュー!$X15="","",VLOOKUP(印刷プレビュー!$X15,データシート!$B$70:AP475,16,FALSE))</f>
        <v/>
      </c>
      <c r="R8" s="72" t="str">
        <f>IF(P8&lt;&gt;"","0.0",IF(印刷プレビュー!$X15="","",VLOOKUP(印刷プレビュー!$X15,データシート!$B$70:AQ477,17,FALSE)))</f>
        <v/>
      </c>
      <c r="S8" s="38" t="str">
        <f>IF(印刷プレビュー!$X15="","",VLOOKUP(印刷プレビュー!$X15,データシート!$B$70:AR475,18,FALSE))</f>
        <v/>
      </c>
      <c r="T8" s="38" t="str">
        <f>IF(印刷プレビュー!$X15="","",VLOOKUP(印刷プレビュー!$X15,データシート!$B$70:AS475,19,FALSE))</f>
        <v/>
      </c>
      <c r="U8" s="38" t="str">
        <f>IF(印刷プレビュー!$X15="","",VLOOKUP(印刷プレビュー!$X15,データシート!$B$70:AT475,20,FALSE))</f>
        <v/>
      </c>
      <c r="V8" s="38" t="str">
        <f>IF(印刷プレビュー!$X15="","",VLOOKUP(印刷プレビュー!$X15,データシート!$B$70:AU475,21,FALSE))</f>
        <v/>
      </c>
      <c r="W8" s="38" t="str">
        <f>IF(印刷プレビュー!$X15="","",VLOOKUP(印刷プレビュー!$X15,データシート!$B$70:AU475,22,FALSE))</f>
        <v/>
      </c>
    </row>
    <row r="9" spans="1:31">
      <c r="B9" s="192" t="str">
        <f>IF(印刷プレビュー!X17="","",印刷プレビュー!X17)</f>
        <v/>
      </c>
      <c r="C9" s="192"/>
      <c r="D9" s="38" t="str">
        <f>IF(印刷プレビュー!$X17="","",VLOOKUP(印刷プレビュー!$X17,データシート!$B$70:AC475,3,FALSE))</f>
        <v/>
      </c>
      <c r="E9" s="38" t="str">
        <f>IF(印刷プレビュー!$X17="","",VLOOKUP(印刷プレビュー!$X17,データシート!$B$70:AD475,4,FALSE))</f>
        <v/>
      </c>
      <c r="F9" s="38" t="str">
        <f>IF(印刷プレビュー!$X17="","",VLOOKUP(印刷プレビュー!$X17,データシート!$B$70:AE475,5,FALSE))</f>
        <v/>
      </c>
      <c r="G9" s="38" t="str">
        <f>IF(印刷プレビュー!$X17="","",VLOOKUP(印刷プレビュー!$X17,データシート!$B$70:AF475,6,FALSE))</f>
        <v/>
      </c>
      <c r="H9" s="38" t="str">
        <f>IF(印刷プレビュー!$X17="","",VLOOKUP(印刷プレビュー!$X17,データシート!$B$70:AG475,7,FALSE))</f>
        <v/>
      </c>
      <c r="I9" s="38" t="str">
        <f>IF(印刷プレビュー!$X17="","",VLOOKUP(印刷プレビュー!$X17,データシート!$B$70:AH475,8,FALSE))</f>
        <v/>
      </c>
      <c r="J9" s="38" t="str">
        <f>IF(印刷プレビュー!$X17="","",VLOOKUP(印刷プレビュー!$X17,データシート!$B$70:AI475,9,FALSE))</f>
        <v/>
      </c>
      <c r="K9" s="38" t="str">
        <f>IF(印刷プレビュー!$X17="","",VLOOKUP(印刷プレビュー!$X17,データシート!$B$70:AJ475,10,FALSE))</f>
        <v/>
      </c>
      <c r="L9" s="30" t="str">
        <f>IF(印刷プレビュー!$X17="","",VLOOKUP(印刷プレビュー!$X17,データシート!$B$70:AK475,11,FALSE))</f>
        <v/>
      </c>
      <c r="M9" s="38" t="str">
        <f>IF(印刷プレビュー!$X17="","",VLOOKUP(印刷プレビュー!$X17,データシート!$B$70:AL475,12,FALSE))</f>
        <v/>
      </c>
      <c r="N9" s="38" t="str">
        <f>IF(印刷プレビュー!$X17="","",VLOOKUP(印刷プレビュー!$X17,データシート!$B$70:AM475,13,FALSE))</f>
        <v/>
      </c>
      <c r="O9" s="38" t="str">
        <f>IF(印刷プレビュー!$X17="","",VLOOKUP(印刷プレビュー!$X17,データシート!$B$70:AN475,14,FALSE))</f>
        <v/>
      </c>
      <c r="P9" s="30" t="str">
        <f>IF(印刷プレビュー!$X17="","",VLOOKUP(印刷プレビュー!$X17,データシート!$B$70:AO475,15,FALSE))</f>
        <v/>
      </c>
      <c r="Q9" s="38" t="str">
        <f>IF(印刷プレビュー!$X17="","",VLOOKUP(印刷プレビュー!$X17,データシート!$B$70:AP475,16,FALSE))</f>
        <v/>
      </c>
      <c r="R9" s="72" t="str">
        <f>IF(P9&lt;&gt;"","0.0",IF(印刷プレビュー!$X17="","",VLOOKUP(印刷プレビュー!$X17,データシート!$B$70:AQ485,17,FALSE)))</f>
        <v/>
      </c>
      <c r="S9" s="38" t="str">
        <f>IF(印刷プレビュー!$X17="","",VLOOKUP(印刷プレビュー!$X17,データシート!$B$70:AR475,18,FALSE))</f>
        <v/>
      </c>
      <c r="T9" s="38" t="str">
        <f>IF(印刷プレビュー!$X17="","",VLOOKUP(印刷プレビュー!$X17,データシート!$B$70:AS475,19,FALSE))</f>
        <v/>
      </c>
      <c r="U9" s="38" t="str">
        <f>IF(印刷プレビュー!$X17="","",VLOOKUP(印刷プレビュー!$X17,データシート!$B$70:AT475,20,FALSE))</f>
        <v/>
      </c>
      <c r="V9" s="38" t="str">
        <f>IF(印刷プレビュー!$X17="","",VLOOKUP(印刷プレビュー!$X17,データシート!$B$70:AU475,21,FALSE))</f>
        <v/>
      </c>
      <c r="W9" s="38" t="str">
        <f>IF(印刷プレビュー!$X17="","",VLOOKUP(印刷プレビュー!$X17,データシート!$B$70:AU475,22,FALSE))</f>
        <v/>
      </c>
    </row>
    <row r="10" spans="1:31">
      <c r="B10" s="193"/>
      <c r="C10" s="193"/>
      <c r="D10" s="38" t="str">
        <f>IF(印刷プレビュー!$X17="","",VLOOKUP(印刷プレビュー!$X17,データシート!$B$70:AC475,3,FALSE))</f>
        <v/>
      </c>
    </row>
    <row r="11" spans="1:31" ht="15.75" customHeight="1">
      <c r="D11" s="38" t="str">
        <f>IF(O6="","",VALUE(D6))</f>
        <v/>
      </c>
      <c r="E11" s="37" t="s">
        <v>81</v>
      </c>
      <c r="F11" s="38" t="str">
        <f>IF(F6="","",VALUE(IF(F7="",F6,IF(F8="",F7,IF(F9="",F8,F9)))))</f>
        <v/>
      </c>
      <c r="G11" s="37" t="s">
        <v>82</v>
      </c>
      <c r="H11" s="38" t="str">
        <f>H6</f>
        <v/>
      </c>
      <c r="I11" s="38" t="str">
        <f>IF(T6="","",VALUE(I6))</f>
        <v/>
      </c>
      <c r="J11" s="30" t="str">
        <f>IF(印刷プレビュー!Y12="YES","本    社",IF(AND(J6&lt;&gt;"",J7=""),J6,IF(AND(J7&lt;&gt;"",J8=""),J7,IF(AND(J8&lt;&gt;"",J9=""),J8,J9))))</f>
        <v/>
      </c>
      <c r="K11" s="38" t="str">
        <f>IF(K6="","",VALUE(IF(K7="",K6,IF(K8="",K7,IF(K9="",K8,K9)))))</f>
        <v/>
      </c>
      <c r="L11" s="30" t="str">
        <f>IF(AND(L6=L7,L6=L8,L6=L9),L6,IF(AND(L6=L7,L6=L8),L6&amp;"    "&amp;L9,IF(L6=L7,L6&amp;"    "&amp;L8,L6&amp;"    "&amp;L7)))</f>
        <v/>
      </c>
      <c r="M11" s="38" t="str">
        <f>IF(M6="","",VALUE(M6))</f>
        <v/>
      </c>
      <c r="N11" s="38" t="str">
        <f>IF(N6="","",VALUE(IF(N7="",N6,IF(N8="",N7,IF(N9="",N8,N9)))))</f>
        <v/>
      </c>
      <c r="O11" s="38" t="str">
        <f>IF(O6="","",IF(O7="",O6+印刷プレビュー!AA16,IF(O8="",O6+O7+印刷プレビュー!AA16,IF(O9="",O6+O7+O8+印刷プレビュー!AA16,O6+O7+O8+O9+印刷プレビュー!AA16))))</f>
        <v/>
      </c>
      <c r="P11" s="39">
        <f>SUM(P6:P9)+印刷プレビュー!AB18</f>
        <v>0</v>
      </c>
      <c r="Q11" s="38" t="str">
        <f>IF(Q6="","",IF(Q7="",Q6,IF(Q8="",Q6+Q7,IF(Q9="",Q6+Q7+Q8,Q6+Q7+Q8+Q9))))</f>
        <v/>
      </c>
      <c r="R11" s="72" t="str">
        <f>IF(R6="","0:0",IF(R7="",R6,IF(R8="",R6+R7,IF(R9="",R6+R7+R8,R6+R7+R8+R9))))</f>
        <v>0:0</v>
      </c>
      <c r="U11" s="38" t="str">
        <f>IF(OR(W6="B",W6="B2"),IF(U6&gt;F3,F3,F11),"0:00")</f>
        <v>0:00</v>
      </c>
      <c r="V11" s="38" t="b">
        <f>IF(OR(W6="B",W6="B2"),IF(D16="",IF(V6&lt;VALUE(F3),VALUE(D3),D6),D16))</f>
        <v>0</v>
      </c>
      <c r="W11" t="str">
        <f>IF(W6="B"," ",IF(OR(W6="B2",V6="10:41"),"",""))</f>
        <v/>
      </c>
      <c r="X11" s="38" t="str">
        <f>IF(OR(W6="B",W6="B2"),"0:00",IF(OR(W16="B",W16="B2"),IF($D$3&gt;D11,(D21-D11),(F11-F3)),IF(OR(W6="K",W6="K2",W6="T"),IF($D$3&gt;D11,(D3-D11),(F11-F3)),"0:00")))</f>
        <v>0:00</v>
      </c>
      <c r="Y11" s="38" t="str">
        <f>IF(OR(W6="K",W6="K2",W6="T"),Q11+印刷プレビュー!AA19,"0:00")</f>
        <v>0:00</v>
      </c>
      <c r="Z11" s="38" t="str">
        <f>IF(OR(W6="",W6="K",W6="K2",W6="K2",W6="T",W6="B",W6="B2"),"0:00",IF(AND(W6="Y1",$D$3&gt;データシート!$P$61-データシート!$P$64),($D$3-D11)-データシート!$Q$61,IF(AND(W6="Y1",$D$3&lt;データシート!$P$61-データシート!$P$64,$D$3&gt;データシート!$O$61+データシート!$P$64),$D$3-D11-($D$3-データシート!$O$61)-データシート!$R$61,IF(AND(W6="Y1",$D$3&gt;データシート!$N$61-データシート!$P$64),$D$3-D11-データシート!$R$61,IF(AND(W6="Y1",$D$3&lt;データシート!$N$61-データシート!$P$64,$D$3&gt;データシート!$M$61+データシート!$P$64),$D$3-D11-($D$3-データシート!$M$61),IF(AND(W6="Y1",$D$3&lt;データシート!$M$61+データシート!$P$64),$D$3-D11,IF(AND(W6="Y2",$D$3&gt;データシート!$P$62-データシート!$P$64),$D$3-D11-データシート!$Q$62,IF(AND(W6="Y2",$D$3&lt;データシート!$P$62-データシート!$P$64,$D$3&gt;データシート!$O$62+データシート!$P$64),$D$3-D11-($D$3-データシート!$O$62)-データシート!$R$62,IF(AND(W6="Y2",$D$3&gt;データシート!$N$62-データシート!$P$64),$D$3-D11-データシート!$R$62,IF(AND(W6="Y2",$D$3&lt;データシート!$N$62-データシート!$P$64,$D$3&gt;データシート!$M$62+データシート!$P$64),$D$3-D11-($D$3-データシート!$M$62),IF(AND(W6="Y2",$D$3&lt;データシート!$M$62+データシート!$P$64),$D$3-D11,IF(AND(W6="Y4",データシート２!F3&lt;データシート!$M$63+データシート!$P$64),F11-F3-データシート!$R$63,IF(AND(W6="Y4",F3&lt;データシート!$M$63+データシート!$P$64,F3&gt;データシート!$N$63-データシート!$P$64),F11-F3-(データシート!$N$63-F3),IF(AND(W6="Y4",F3&lt;データシート!$N$63-データシート!$P$64),F11-F3,IF(AND(W6="Y5",F3&lt;データシート!$M$64+データシート!$P$64),F11-F3-データシート!R64,IF(AND(W6="Y5",F3&lt;データシート!$M$64+データシート!$P$64,F3&gt;データシート!$N$64-データシート!$P$64),F11-F3-(データシート!$N$64-F3),IF(AND(W6="Y5",F3&lt;データシート!$N$64-データシート!$P$64),F11-F3,)))))))))))))))))</f>
        <v>0:00</v>
      </c>
      <c r="AA11" s="38" t="str">
        <f>IF(OR(W6="B",W6="B2"),Q6,"0:00")</f>
        <v>0:00</v>
      </c>
      <c r="AB11" s="38" t="b">
        <f>IF(OR(W6="B",W6="B2"),IF(D16="",IF($D$3&gt;U11,$D$3-U11,V11-U11),IF(D16&lt;&gt;"",IF($D$3&gt;U11,D16-F11,D11-F3))))</f>
        <v>0</v>
      </c>
      <c r="AD11" s="37"/>
    </row>
    <row r="12" spans="1:31">
      <c r="D12" s="38" t="str">
        <f>IF(印刷プレビュー!$X19="","",VLOOKUP(印刷プレビュー!$X19,データシート!$B$70:AC475,3,FALSE))</f>
        <v/>
      </c>
      <c r="I12" s="37" t="s">
        <v>83</v>
      </c>
      <c r="K12" s="37" t="s">
        <v>84</v>
      </c>
      <c r="M12" s="37" t="s">
        <v>83</v>
      </c>
      <c r="N12" s="37" t="s">
        <v>84</v>
      </c>
      <c r="Z12" s="37"/>
      <c r="AB12" s="37"/>
    </row>
    <row r="13" spans="1:31" ht="17.25" customHeight="1">
      <c r="D13" s="38" t="str">
        <f>IF(印刷プレビュー!$X20="","",VLOOKUP(印刷プレビュー!$X20,データシート!$B$70:AC475,3,FALSE))</f>
        <v/>
      </c>
      <c r="L13" s="61"/>
      <c r="Y13" s="37"/>
    </row>
    <row r="14" spans="1:31">
      <c r="A14" t="s">
        <v>80</v>
      </c>
      <c r="D14" s="38" t="str">
        <f>IF(印刷プレビュー!$X21="","",VLOOKUP(印刷プレビュー!$X21,データシート!$B$70:AC475,3,FALSE))</f>
        <v/>
      </c>
    </row>
    <row r="15" spans="1:31">
      <c r="B15" s="27" t="s">
        <v>23</v>
      </c>
      <c r="C15" s="27" t="s">
        <v>39</v>
      </c>
      <c r="D15" s="37" t="s">
        <v>22</v>
      </c>
      <c r="E15" s="37" t="s">
        <v>21</v>
      </c>
      <c r="F15" s="37" t="s">
        <v>2</v>
      </c>
      <c r="G15" s="37" t="s">
        <v>21</v>
      </c>
      <c r="H15" s="15" t="s">
        <v>24</v>
      </c>
      <c r="I15" s="37" t="s">
        <v>26</v>
      </c>
      <c r="J15" s="37" t="s">
        <v>25</v>
      </c>
      <c r="K15" s="37" t="s">
        <v>27</v>
      </c>
      <c r="L15" t="s">
        <v>28</v>
      </c>
      <c r="M15" s="37" t="s">
        <v>30</v>
      </c>
      <c r="N15" s="37" t="s">
        <v>31</v>
      </c>
      <c r="O15" s="37" t="s">
        <v>32</v>
      </c>
      <c r="P15" t="s">
        <v>33</v>
      </c>
      <c r="Q15" s="37" t="s">
        <v>43</v>
      </c>
      <c r="R15" s="86" t="s">
        <v>154</v>
      </c>
      <c r="S15" s="37" t="s">
        <v>34</v>
      </c>
      <c r="T15" s="37" t="s">
        <v>35</v>
      </c>
      <c r="U15" s="37" t="s">
        <v>36</v>
      </c>
      <c r="V15" s="37" t="s">
        <v>37</v>
      </c>
    </row>
    <row r="16" spans="1:31">
      <c r="B16" s="191" t="str">
        <f>IF(印刷プレビュー!X24="","",印刷プレビュー!X24)</f>
        <v/>
      </c>
      <c r="C16" s="191"/>
      <c r="D16" s="38" t="str">
        <f>IF(OR(W16="Y4",W16="Y5"),F11,IF(印刷プレビュー!$X24="","",VLOOKUP(印刷プレビュー!$X24,データシート!$B$70:AC475,3,FALSE)))</f>
        <v/>
      </c>
      <c r="E16" s="38" t="str">
        <f>IF(OR(W16="Y4",W16="Y5"),F11,IF(印刷プレビュー!$X24="","",VLOOKUP(印刷プレビュー!$X24,データシート!$B$70:AC475,3,FALSE)))</f>
        <v/>
      </c>
      <c r="F16" s="38" t="str">
        <f>IF(印刷プレビュー!$X24="","",VLOOKUP(印刷プレビュー!$X24,データシート!$B$70:AE475,5,FALSE))</f>
        <v/>
      </c>
      <c r="G16" s="38" t="str">
        <f>IF(印刷プレビュー!$X24="","",VLOOKUP(印刷プレビュー!$X24,データシート!$B$70:AF475,6,FALSE))</f>
        <v/>
      </c>
      <c r="H16" s="38" t="str">
        <f>IF(印刷プレビュー!Y21="YES","本    社",IF(印刷プレビュー!$X24="","",VLOOKUP(印刷プレビュー!$X24,データシート!$B$70:AG475,7,FALSE)))</f>
        <v/>
      </c>
      <c r="I16" s="38" t="str">
        <f>IF(OR(W16="Y4",W16="Y5"),F11,IF(印刷プレビュー!$X24="","",VLOOKUP(印刷プレビュー!$X24,データシート!$B$70:AH475,8,FALSE)))</f>
        <v/>
      </c>
      <c r="J16" s="38" t="str">
        <f>IF(印刷プレビュー!$X24="","",VLOOKUP(印刷プレビュー!$X24,データシート!$B$70:AI475,9,FALSE))</f>
        <v/>
      </c>
      <c r="K16" s="38" t="str">
        <f>IF(印刷プレビュー!$X24="","",VLOOKUP(印刷プレビュー!$X24,データシート!$B$70:AJ475,10,FALSE))</f>
        <v/>
      </c>
      <c r="L16" s="30" t="str">
        <f>IF(印刷プレビュー!$X24="","",VLOOKUP(印刷プレビュー!$X24,データシート!$B$70:AK475,11,FALSE))</f>
        <v/>
      </c>
      <c r="M16" s="38" t="str">
        <f>IF(OR(W16="Y4",W16="Y5"),F11,IF(印刷プレビュー!$X24="","",VLOOKUP(印刷プレビュー!$X24,データシート!$B$70:AL475,12,FALSE)))</f>
        <v/>
      </c>
      <c r="N16" s="38" t="str">
        <f>IF(印刷プレビュー!$X24="","",VLOOKUP(印刷プレビュー!$X24,データシート!$B$70:AM475,13,FALSE))</f>
        <v/>
      </c>
      <c r="O16" s="38" t="str">
        <f>IF(印刷プレビュー!$X24="","",VLOOKUP(印刷プレビュー!$X24,データシート!$B$70:AN475,14,FALSE))</f>
        <v/>
      </c>
      <c r="P16" s="30" t="str">
        <f>IF(印刷プレビュー!$X24="","",VLOOKUP(印刷プレビュー!$X24,データシート!$B$70:AO475,15,FALSE))</f>
        <v/>
      </c>
      <c r="Q16" s="38" t="str">
        <f>IF(印刷プレビュー!$X24="","",VLOOKUP(印刷プレビュー!$X24,データシート!$B$70:AP475,16,FALSE))</f>
        <v/>
      </c>
      <c r="R16" s="72" t="str">
        <f>IF(P16&lt;&gt;"","0.0",IF(印刷プレビュー!$X23="","",VLOOKUP(印刷プレビュー!$X23,データシート!$B$70:AQ492,17,FALSE)))</f>
        <v/>
      </c>
      <c r="S16" s="38" t="str">
        <f>IF(印刷プレビュー!$X24="","",VLOOKUP(印刷プレビュー!$X24,データシート!$B$70:AR475,18,FALSE))</f>
        <v/>
      </c>
      <c r="T16" s="38" t="str">
        <f>IF(印刷プレビュー!$X24="","",VLOOKUP(印刷プレビュー!$X24,データシート!$B$70:AS475,19,FALSE))</f>
        <v/>
      </c>
      <c r="U16" s="38" t="str">
        <f>IF(印刷プレビュー!$X24="","",VLOOKUP(印刷プレビュー!$X24,データシート!$B$70:AT475,20,FALSE))</f>
        <v/>
      </c>
      <c r="V16" s="38" t="str">
        <f>IF(印刷プレビュー!$X24="","",VLOOKUP(印刷プレビュー!$X24,データシート!$B$70:AU475,21,FALSE))</f>
        <v/>
      </c>
      <c r="W16" s="38" t="str">
        <f>IF(印刷プレビュー!$X24="","",VLOOKUP(印刷プレビュー!$X24,データシート!$B$70:AU475,22,FALSE))</f>
        <v/>
      </c>
    </row>
    <row r="17" spans="1:28">
      <c r="B17" s="191" t="str">
        <f>IF(印刷プレビュー!X25="","",印刷プレビュー!X25)</f>
        <v/>
      </c>
      <c r="C17" s="191"/>
      <c r="D17" s="38" t="str">
        <f>IF(印刷プレビュー!$X25="","",VLOOKUP(印刷プレビュー!$X25,データシート!$B$70:AC475,3,FALSE))</f>
        <v/>
      </c>
      <c r="E17" s="38" t="str">
        <f>IF(印刷プレビュー!$X25="","",VLOOKUP(印刷プレビュー!$X25,データシート!$B$70:AD475,4,FALSE))</f>
        <v/>
      </c>
      <c r="F17" s="38" t="str">
        <f>IF(印刷プレビュー!$X25="","",VLOOKUP(印刷プレビュー!$X25,データシート!$B$70:AE475,5,FALSE))</f>
        <v/>
      </c>
      <c r="G17" s="38" t="str">
        <f>IF(印刷プレビュー!$X25="","",VLOOKUP(印刷プレビュー!$X25,データシート!$B$70:AF475,6,FALSE))</f>
        <v/>
      </c>
      <c r="H17" s="38" t="str">
        <f>IF(印刷プレビュー!$X25="","",VLOOKUP(印刷プレビュー!$X25,データシート!$B$70:AG475,7,FALSE))</f>
        <v/>
      </c>
      <c r="I17" s="38" t="str">
        <f>IF(印刷プレビュー!$X25="","",VLOOKUP(印刷プレビュー!$X25,データシート!$B$70:AH475,8,FALSE))</f>
        <v/>
      </c>
      <c r="J17" s="38" t="str">
        <f>IF(印刷プレビュー!$X25="","",VLOOKUP(印刷プレビュー!$X25,データシート!$B$70:AI475,9,FALSE))</f>
        <v/>
      </c>
      <c r="K17" s="38" t="str">
        <f>IF(印刷プレビュー!$X25="","",VLOOKUP(印刷プレビュー!$X25,データシート!$B$70:AJ475,10,FALSE))</f>
        <v/>
      </c>
      <c r="L17" s="30" t="str">
        <f>IF(印刷プレビュー!$X25="","",VLOOKUP(印刷プレビュー!$X25,データシート!$B$70:AK475,11,FALSE))</f>
        <v/>
      </c>
      <c r="M17" s="38" t="str">
        <f>IF(印刷プレビュー!$X25="","",VLOOKUP(印刷プレビュー!$X25,データシート!$B$70:AL475,12,FALSE))</f>
        <v/>
      </c>
      <c r="N17" s="38" t="str">
        <f>IF(印刷プレビュー!$X25="","",VLOOKUP(印刷プレビュー!$X25,データシート!$B$70:AM475,13,FALSE))</f>
        <v/>
      </c>
      <c r="O17" s="38" t="str">
        <f>IF(印刷プレビュー!$X25="","",VLOOKUP(印刷プレビュー!$X25,データシート!$B$70:AN475,14,FALSE))</f>
        <v/>
      </c>
      <c r="P17" s="30" t="str">
        <f>IF(印刷プレビュー!$X25="","",VLOOKUP(印刷プレビュー!$X25,データシート!$B$70:AO475,15,FALSE))</f>
        <v/>
      </c>
      <c r="Q17" s="38" t="str">
        <f>IF(印刷プレビュー!$X25="","",VLOOKUP(印刷プレビュー!$X25,データシート!$B$70:AP475,16,FALSE))</f>
        <v/>
      </c>
      <c r="R17" s="72" t="str">
        <f>IF(P17&lt;&gt;"","0.0",IF(印刷プレビュー!$X24="","",VLOOKUP(印刷プレビュー!$X24,データシート!$B$70:AQ493,17,FALSE)))</f>
        <v/>
      </c>
      <c r="S17" s="38" t="str">
        <f>IF(印刷プレビュー!$X25="","",VLOOKUP(印刷プレビュー!$X25,データシート!$B$70:AR475,18,FALSE))</f>
        <v/>
      </c>
      <c r="T17" s="38" t="str">
        <f>IF(印刷プレビュー!$X25="","",VLOOKUP(印刷プレビュー!$X25,データシート!$B$70:AS475,19,FALSE))</f>
        <v/>
      </c>
      <c r="U17" s="38" t="str">
        <f>IF(印刷プレビュー!$X25="","",VLOOKUP(印刷プレビュー!$X25,データシート!$B$70:AT475,20,FALSE))</f>
        <v/>
      </c>
      <c r="V17" s="38" t="str">
        <f>IF(印刷プレビュー!$X25="","",VLOOKUP(印刷プレビュー!$X25,データシート!$B$70:AU475,21,FALSE))</f>
        <v/>
      </c>
      <c r="W17" s="38" t="str">
        <f>IF(印刷プレビュー!$X25="","",VLOOKUP(印刷プレビュー!$X25,データシート!$B$70:AU475,22,FALSE))</f>
        <v/>
      </c>
    </row>
    <row r="18" spans="1:28">
      <c r="B18" s="191" t="str">
        <f>IF(印刷プレビュー!X26="","",印刷プレビュー!X26)</f>
        <v/>
      </c>
      <c r="C18" s="191"/>
      <c r="D18" s="38" t="str">
        <f>IF(印刷プレビュー!$X26="","",VLOOKUP(印刷プレビュー!$X26,データシート!$B$70:AC475,3,FALSE))</f>
        <v/>
      </c>
      <c r="E18" s="38" t="str">
        <f>IF(印刷プレビュー!$X26="","",VLOOKUP(印刷プレビュー!$X26,データシート!$B$70:AD475,4,FALSE))</f>
        <v/>
      </c>
      <c r="F18" s="38" t="str">
        <f>IF(印刷プレビュー!$X26="","",VLOOKUP(印刷プレビュー!$X26,データシート!$B$70:AE475,5,FALSE))</f>
        <v/>
      </c>
      <c r="G18" s="38" t="str">
        <f>IF(印刷プレビュー!$X26="","",VLOOKUP(印刷プレビュー!$X26,データシート!$B$70:AF475,6,FALSE))</f>
        <v/>
      </c>
      <c r="H18" s="38" t="str">
        <f>IF(印刷プレビュー!$X26="","",VLOOKUP(印刷プレビュー!$X26,データシート!$B$70:AG475,7,FALSE))</f>
        <v/>
      </c>
      <c r="I18" s="38" t="str">
        <f>IF(印刷プレビュー!$X26="","",VLOOKUP(印刷プレビュー!$X26,データシート!$B$70:AH475,8,FALSE))</f>
        <v/>
      </c>
      <c r="J18" s="38" t="str">
        <f>IF(印刷プレビュー!$X26="","",VLOOKUP(印刷プレビュー!$X26,データシート!$B$70:AI475,9,FALSE))</f>
        <v/>
      </c>
      <c r="K18" s="38" t="str">
        <f>IF(印刷プレビュー!$X26="","",VLOOKUP(印刷プレビュー!$X26,データシート!$B$70:AJ475,10,FALSE))</f>
        <v/>
      </c>
      <c r="L18" s="30" t="str">
        <f>IF(印刷プレビュー!$X26="","",VLOOKUP(印刷プレビュー!$X26,データシート!$B$70:AK475,11,FALSE))</f>
        <v/>
      </c>
      <c r="M18" s="38" t="str">
        <f>IF(印刷プレビュー!$X26="","",VLOOKUP(印刷プレビュー!$X26,データシート!$B$70:AL475,12,FALSE))</f>
        <v/>
      </c>
      <c r="N18" s="38" t="str">
        <f>IF(印刷プレビュー!$X26="","",VLOOKUP(印刷プレビュー!$X26,データシート!$B$70:AM475,13,FALSE))</f>
        <v/>
      </c>
      <c r="O18" s="38" t="str">
        <f>IF(印刷プレビュー!$X26="","",VLOOKUP(印刷プレビュー!$X26,データシート!$B$70:AN475,14,FALSE))</f>
        <v/>
      </c>
      <c r="P18" s="30" t="str">
        <f>IF(印刷プレビュー!$X26="","",VLOOKUP(印刷プレビュー!$X26,データシート!$B$70:AO475,15,FALSE))</f>
        <v/>
      </c>
      <c r="Q18" s="38" t="str">
        <f>IF(印刷プレビュー!$X26="","",VLOOKUP(印刷プレビュー!$X26,データシート!$B$70:AP475,16,FALSE))</f>
        <v/>
      </c>
      <c r="R18" s="72" t="str">
        <f>IF(P18&lt;&gt;"","0.0",IF(印刷プレビュー!$X25="","",VLOOKUP(印刷プレビュー!$X25,データシート!$B$70:AQ494,17,FALSE)))</f>
        <v/>
      </c>
      <c r="S18" s="38" t="str">
        <f>IF(印刷プレビュー!$X26="","",VLOOKUP(印刷プレビュー!$X26,データシート!$B$70:AR475,18,FALSE))</f>
        <v/>
      </c>
      <c r="T18" s="38" t="str">
        <f>IF(印刷プレビュー!$X26="","",VLOOKUP(印刷プレビュー!$X26,データシート!$B$70:AS475,19,FALSE))</f>
        <v/>
      </c>
      <c r="U18" s="38" t="str">
        <f>IF(印刷プレビュー!$X26="","",VLOOKUP(印刷プレビュー!$X26,データシート!$B$70:AT475,20,FALSE))</f>
        <v/>
      </c>
      <c r="V18" s="38" t="str">
        <f>IF(印刷プレビュー!$X26="","",VLOOKUP(印刷プレビュー!$X26,データシート!$B$70:AU475,21,FALSE))</f>
        <v/>
      </c>
      <c r="W18" s="38" t="str">
        <f>IF(印刷プレビュー!$X26="","",VLOOKUP(印刷プレビュー!$X26,データシート!$B$70:AU475,22,FALSE))</f>
        <v/>
      </c>
    </row>
    <row r="19" spans="1:28">
      <c r="B19" s="191" t="str">
        <f>IF(印刷プレビュー!X27="","",印刷プレビュー!X27)</f>
        <v/>
      </c>
      <c r="C19" s="191"/>
      <c r="D19" s="38" t="str">
        <f>IF(印刷プレビュー!$X27="","",VLOOKUP(印刷プレビュー!$X27,データシート!$B$70:AC475,3,FALSE))</f>
        <v/>
      </c>
      <c r="E19" s="38" t="str">
        <f>IF(印刷プレビュー!$X27="","",VLOOKUP(印刷プレビュー!$X27,データシート!$B$70:AD475,4,FALSE))</f>
        <v/>
      </c>
      <c r="F19" s="38" t="str">
        <f>IF(印刷プレビュー!$X27="","",VLOOKUP(印刷プレビュー!$X27,データシート!$B$70:AE475,5,FALSE))</f>
        <v/>
      </c>
      <c r="G19" s="38" t="str">
        <f>IF(印刷プレビュー!$X27="","",VLOOKUP(印刷プレビュー!$X27,データシート!$B$70:AF475,6,FALSE))</f>
        <v/>
      </c>
      <c r="H19" s="38" t="str">
        <f>IF(印刷プレビュー!$X27="","",VLOOKUP(印刷プレビュー!$X27,データシート!$B$70:AG475,7,FALSE))</f>
        <v/>
      </c>
      <c r="I19" s="38" t="str">
        <f>IF(印刷プレビュー!$X27="","",VLOOKUP(印刷プレビュー!$X27,データシート!$B$70:AH475,8,FALSE))</f>
        <v/>
      </c>
      <c r="J19" s="38" t="str">
        <f>IF(印刷プレビュー!$X27="","",VLOOKUP(印刷プレビュー!$X27,データシート!$B$70:AI475,9,FALSE))</f>
        <v/>
      </c>
      <c r="K19" s="38" t="str">
        <f>IF(印刷プレビュー!$X27="","",VLOOKUP(印刷プレビュー!$X27,データシート!$B$70:AJ475,10,FALSE))</f>
        <v/>
      </c>
      <c r="L19" s="30" t="str">
        <f>IF(印刷プレビュー!$X27="","",VLOOKUP(印刷プレビュー!$X27,データシート!$B$70:AK475,11,FALSE))</f>
        <v/>
      </c>
      <c r="M19" s="38" t="str">
        <f>IF(印刷プレビュー!$X27="","",VLOOKUP(印刷プレビュー!$X27,データシート!$B$70:AL475,12,FALSE))</f>
        <v/>
      </c>
      <c r="N19" s="38" t="str">
        <f>IF(印刷プレビュー!$X27="","",VLOOKUP(印刷プレビュー!$X27,データシート!$B$70:AM475,13,FALSE))</f>
        <v/>
      </c>
      <c r="O19" s="38" t="str">
        <f>IF(印刷プレビュー!$X27="","",VLOOKUP(印刷プレビュー!$X27,データシート!$B$70:AN475,14,FALSE))</f>
        <v/>
      </c>
      <c r="P19" s="30" t="str">
        <f>IF(印刷プレビュー!$X27="","",VLOOKUP(印刷プレビュー!$X27,データシート!$B$70:AO475,15,FALSE))</f>
        <v/>
      </c>
      <c r="Q19" s="38" t="str">
        <f>IF(印刷プレビュー!$X27="","",VLOOKUP(印刷プレビュー!$X27,データシート!$B$70:AP475,16,FALSE))</f>
        <v/>
      </c>
      <c r="R19" s="72" t="str">
        <f>IF(P19&lt;&gt;"","0.0",IF(印刷プレビュー!$X26="","",VLOOKUP(印刷プレビュー!$X26,データシート!$B$70:AQ495,17,FALSE)))</f>
        <v/>
      </c>
      <c r="S19" s="38" t="str">
        <f>IF(印刷プレビュー!$X27="","",VLOOKUP(印刷プレビュー!$X27,データシート!$B$70:AR475,18,FALSE))</f>
        <v/>
      </c>
      <c r="T19" s="38" t="str">
        <f>IF(印刷プレビュー!$X27="","",VLOOKUP(印刷プレビュー!$X27,データシート!$B$70:AS475,19,FALSE))</f>
        <v/>
      </c>
      <c r="U19" s="38" t="str">
        <f>IF(印刷プレビュー!$X27="","",VLOOKUP(印刷プレビュー!$X27,データシート!$B$70:AT475,20,FALSE))</f>
        <v/>
      </c>
      <c r="V19" s="38" t="str">
        <f>IF(印刷プレビュー!$X27="","",VLOOKUP(印刷プレビュー!$X27,データシート!$B$70:AU475,21,FALSE))</f>
        <v/>
      </c>
      <c r="W19" s="38" t="str">
        <f>IF(印刷プレビュー!$X27="","",VLOOKUP(印刷プレビュー!$X27,データシート!$B$70:AU475,22,FALSE))</f>
        <v/>
      </c>
    </row>
    <row r="20" spans="1:28">
      <c r="B20" s="193"/>
      <c r="C20" s="193"/>
      <c r="D20" s="38" t="str">
        <f>IF(印刷プレビュー!$X27="","",VLOOKUP(印刷プレビュー!$X27,データシート!$B$70:AC475,3,FALSE))</f>
        <v/>
      </c>
      <c r="P20" s="37"/>
      <c r="X20" s="30"/>
      <c r="Y20" s="30"/>
    </row>
    <row r="21" spans="1:28">
      <c r="D21" s="38" t="str">
        <f>IF(D16="","",VALUE(D16))</f>
        <v/>
      </c>
      <c r="E21" s="37" t="s">
        <v>81</v>
      </c>
      <c r="F21" s="38" t="str">
        <f>IF(F16="","",VALUE(IF(F17="",F16,IF(F18="",F17,IF(F19="",F18,F19)))))</f>
        <v/>
      </c>
      <c r="G21" s="37" t="s">
        <v>82</v>
      </c>
      <c r="H21" s="38" t="str">
        <f>H16</f>
        <v/>
      </c>
      <c r="I21" s="38" t="str">
        <f>IF(T16="","",VALUE(I16))</f>
        <v/>
      </c>
      <c r="J21" s="30" t="str">
        <f>IF(印刷プレビュー!Y22="YES","本    社",IF(AND(J16&lt;&gt;"",J17=""),J16,IF(AND(J17&lt;&gt;"",J18=""),J17,IF(AND(J18&lt;&gt;"",J19=""),J18,J19))))</f>
        <v/>
      </c>
      <c r="K21" s="38" t="str">
        <f>IF(K16="","",VALUE(IF(K17="",K16,IF(K18="",K17,IF(K19="",K18,K19)))))</f>
        <v/>
      </c>
      <c r="L21" s="27" t="str">
        <f>IF(AND(L16=L17,L16=L18,L16=L19),L16,IF(AND(L16=L17,L16=L18),L16&amp;"    "&amp;L19,IF(L16=L17,L16&amp;"    "&amp;L18,L16&amp;"    "&amp;L17)))</f>
        <v/>
      </c>
      <c r="M21" s="38" t="str">
        <f>IF(M16="","",VALUE(M16))</f>
        <v/>
      </c>
      <c r="N21" s="38" t="str">
        <f>IF(N16="","",VALUE(IF(N17="",N16,IF(N18="",N17,IF(N19="",N18,N19)))))</f>
        <v/>
      </c>
      <c r="O21" s="38" t="str">
        <f>IF(O16="","",IF(O17="",O16+印刷プレビュー!AA27,IF(O18="",O16+O17+印刷プレビュー!AA27,IF(O19="",O16+O17+O18+印刷プレビュー!AA27,O16+O17+O18+O19+印刷プレビュー!AA27))))</f>
        <v/>
      </c>
      <c r="P21" s="39">
        <f>SUM(P16:P19)+印刷プレビュー!AB28</f>
        <v>0</v>
      </c>
      <c r="Q21" s="38" t="str">
        <f>IF(Q16="","",IF(Q17="",Q16,IF(Q18="",Q16+Q17,IF(Q19="",Q16+Q17+Q18,Q16+Q17+Q18+Q19))))</f>
        <v/>
      </c>
      <c r="R21" s="72" t="str">
        <f>IF(R16="","0:0",IF(R17="",R16,IF(R18="",R16+R17,IF(R19="",R16+R17+R18,R16+R17+R18+R19))))</f>
        <v>0:0</v>
      </c>
      <c r="U21" s="38" t="str">
        <f>IF(OR(W16="B",W16="B2"),IF(U16&gt;F11,F11,F21),"0:00")</f>
        <v>0:00</v>
      </c>
      <c r="V21" s="38" t="str">
        <f>IF(OR(W16="B",W16="B2"),IF(V16&lt;F16,D13,D16),"0:00")</f>
        <v>0:00</v>
      </c>
      <c r="W21" t="str">
        <f>IF(W16="B"," ",IF(OR(W16="B2",V16="10:41"),"",""))</f>
        <v/>
      </c>
      <c r="X21" s="38" t="str">
        <f>IF(OR(W16="B",W16="B2"),"0:00",IF(OR(W26="B",W26="B2"),IF($D$3&gt;D21,(D31-D21),(F21-F11)),IF(OR(W16="K",W16="K2",W16="T"),IF($D$3&gt;D21,(D21-D11),(F21-F11)),"0:00")))</f>
        <v>0:00</v>
      </c>
      <c r="Y21" s="38" t="str">
        <f>IF(OR(W16="K",W16="K2",W16="T"),Q21+印刷プレビュー!AA28,"0:00")</f>
        <v>0:00</v>
      </c>
      <c r="Z21" s="38" t="str">
        <f>IF(OR(W16="",W16="K",W16="K2",W16="K2",W16="T",W16="B",W16="B2"),"0:00",IF(AND(W16="Y1",$D$3&gt;データシート!$P$61-データシート!$P$64),($D$3-D21)-データシート!$Q$61,IF(AND(W16="Y1",$D$3&lt;データシート!$P$61-データシート!$P$64,$D$3&gt;データシート!$O$61+データシート!$P$64),$D$3-D21-($D$3-データシート!$O$61)-データシート!$R$61,IF(AND(W16="Y1",$D$3&gt;データシート!$N$61-データシート!$P$64),$D$3-D21-データシート!$R$61,IF(AND(W16="Y1",$D$3&lt;データシート!$N$61-データシート!$P$64,$D$3&gt;データシート!$M$61+データシート!$P$64),$D$3-D21-($D$3-データシート!$M$61),IF(AND(W16="Y2",$D$3&gt;データシート!$P$62-データシート!$P$64),$D$3-D21-データシート!$Q$62,IF(AND(W16="Y2",$D$3&lt;データシート!$P$62-データシート!$P$64,$D$3&gt;データシート!$O$62+データシート!$P$64),$D$3-D21-($D$3-データシート!$O$62)-データシート!$R$62,IF(AND(W16="Y2",$D$3&gt;データシート!$N$62-データシート!$P$64),$D$3-D21-データシート!$R$62,IF(AND(W16="Y2",$D$3&lt;データシート!$N$62-データシート!$P$64,$D$3&gt;データシート!$M$62+データシート!$P$64),$D$3-D21-($D$3-データシート!$M$62),IF(AND(W16="Y4",D21&lt;データシート!$M$63+データシート!$P$64),F21-F11-データシート!$R$63,IF(AND(W16="Y4",D21&lt;データシート!$N$63-データシート!$P$64,D21&gt;データシート!$M$63+データシート!$P$64),F21-F11-(データシート!$N$63-D21),IF(AND(W16="Y4",D21&gt;データシート!$N$63-データシート!$P$64),F21-F11,IF(AND(W16="Y5",D21&lt;データシート!$M$64+データシート!$P$64),F21-F11-データシート!$R$64,IF(AND(W16="Y5",D21&lt;データシート!$N$64-データシート!$P$64,D21&gt;データシート!$M$64+データシート!$P$64),F21-F11-(データシート!$N$64-D21),IF(AND(W16="Y5",D21&gt;データシート!$N$64-データシート!$P$64),F21-F11,)))))))))))))))</f>
        <v>0:00</v>
      </c>
      <c r="AA21" s="38" t="str">
        <f>IF(OR(W16="B",W16="B2"),Q16,"0:00")</f>
        <v>0:00</v>
      </c>
      <c r="AB21" s="38" t="str">
        <f>IF(OR(W16="B",W16="B2"),IF($D$3&gt;U21,$D$3-F21,V21-U21),"0:00")</f>
        <v>0:00</v>
      </c>
    </row>
    <row r="22" spans="1:28">
      <c r="D22" s="38" t="str">
        <f>IF(印刷プレビュー!$X30="","",VLOOKUP(印刷プレビュー!$X30,データシート!$B$70:AC475,3,FALSE))</f>
        <v/>
      </c>
      <c r="I22" s="37" t="s">
        <v>83</v>
      </c>
      <c r="K22" s="37" t="s">
        <v>84</v>
      </c>
      <c r="M22" s="37" t="s">
        <v>83</v>
      </c>
      <c r="N22" s="37" t="s">
        <v>84</v>
      </c>
      <c r="Y22" s="37"/>
    </row>
    <row r="23" spans="1:28">
      <c r="D23" s="38" t="str">
        <f>IF(印刷プレビュー!$X31="","",VLOOKUP(印刷プレビュー!$X31,データシート!$B$70:AC475,3,FALSE))</f>
        <v/>
      </c>
    </row>
    <row r="24" spans="1:28">
      <c r="A24" t="s">
        <v>87</v>
      </c>
      <c r="B24" s="2"/>
      <c r="D24" s="38" t="str">
        <f>IF(印刷プレビュー!$X32="","",VLOOKUP(印刷プレビュー!$X32,データシート!$B$70:AC475,3,FALSE))</f>
        <v/>
      </c>
    </row>
    <row r="25" spans="1:28">
      <c r="B25" s="27" t="s">
        <v>23</v>
      </c>
      <c r="C25" s="27" t="s">
        <v>39</v>
      </c>
      <c r="D25" s="37" t="s">
        <v>22</v>
      </c>
      <c r="E25" s="37" t="s">
        <v>21</v>
      </c>
      <c r="F25" s="37" t="s">
        <v>2</v>
      </c>
      <c r="G25" s="37" t="s">
        <v>21</v>
      </c>
      <c r="H25" s="15" t="s">
        <v>24</v>
      </c>
      <c r="I25" s="37" t="s">
        <v>26</v>
      </c>
      <c r="J25" s="37" t="s">
        <v>25</v>
      </c>
      <c r="K25" s="37" t="s">
        <v>27</v>
      </c>
      <c r="L25" t="s">
        <v>28</v>
      </c>
      <c r="M25" s="37" t="s">
        <v>30</v>
      </c>
      <c r="N25" s="37" t="s">
        <v>31</v>
      </c>
      <c r="O25" s="37" t="s">
        <v>32</v>
      </c>
      <c r="P25" t="s">
        <v>33</v>
      </c>
      <c r="Q25" s="37" t="s">
        <v>43</v>
      </c>
      <c r="R25" s="86" t="s">
        <v>154</v>
      </c>
      <c r="S25" s="37" t="s">
        <v>34</v>
      </c>
      <c r="T25" s="37" t="s">
        <v>35</v>
      </c>
      <c r="U25" s="37" t="s">
        <v>36</v>
      </c>
      <c r="V25" s="37" t="s">
        <v>37</v>
      </c>
    </row>
    <row r="26" spans="1:28">
      <c r="B26" s="191" t="str">
        <f>IF(印刷プレビュー!X35="","",印刷プレビュー!X35)</f>
        <v/>
      </c>
      <c r="C26" s="191"/>
      <c r="D26" s="38" t="str">
        <f>IF(OR(W26="Y4",W26="Y5"),F21,IF(印刷プレビュー!$X35="","",VLOOKUP(印刷プレビュー!$X35,データシート!$B$70:AC475,3,FALSE)))</f>
        <v/>
      </c>
      <c r="E26" s="38" t="str">
        <f>IF(OR(W26="Y4",W26="Y5"),F21,IF(印刷プレビュー!$X35="","",VLOOKUP(印刷プレビュー!$X35,データシート!$B$70:AD475,3,FALSE)))</f>
        <v/>
      </c>
      <c r="F26" s="38" t="str">
        <f>IF(印刷プレビュー!$X35="","",VLOOKUP(印刷プレビュー!$X35,データシート!$B$70:AE475,5,FALSE))</f>
        <v/>
      </c>
      <c r="G26" s="38" t="str">
        <f>IF(印刷プレビュー!$X35="","",VLOOKUP(印刷プレビュー!$X35,データシート!$B$70:AF475,6,FALSE))</f>
        <v/>
      </c>
      <c r="H26" s="38" t="str">
        <f>IF(印刷プレビュー!Y33="YES","本    社",IF(印刷プレビュー!$X35="","",VLOOKUP(印刷プレビュー!$X35,データシート!$B$70:AG475,7,FALSE)))</f>
        <v/>
      </c>
      <c r="I26" s="38" t="str">
        <f>IF(OR(W26="Y4",W26="Y5"),F21,IF(印刷プレビュー!$X35="","",VLOOKUP(印刷プレビュー!$X35,データシート!$B$70:AH475,8,FALSE)))</f>
        <v/>
      </c>
      <c r="J26" s="38" t="str">
        <f>IF(印刷プレビュー!$X35="","",VLOOKUP(印刷プレビュー!$X35,データシート!$B$70:AI475,9,FALSE))</f>
        <v/>
      </c>
      <c r="K26" s="38" t="str">
        <f>IF(印刷プレビュー!$X35="","",VLOOKUP(印刷プレビュー!$X35,データシート!$B$70:AJ475,10,FALSE))</f>
        <v/>
      </c>
      <c r="L26" s="30" t="str">
        <f>IF(印刷プレビュー!$X35="","",VLOOKUP(印刷プレビュー!$X35,データシート!$B$70:AK475,11,FALSE))</f>
        <v/>
      </c>
      <c r="M26" s="38" t="str">
        <f>IF(OR(W26="Y4",W26="Y5"),F21,IF(印刷プレビュー!$X35="","",VLOOKUP(印刷プレビュー!$X35,データシート!$B$70:AL475,12,FALSE)))</f>
        <v/>
      </c>
      <c r="N26" s="38" t="str">
        <f>IF(印刷プレビュー!$X35="","",VLOOKUP(印刷プレビュー!$X35,データシート!$B$70:AM475,13,FALSE))</f>
        <v/>
      </c>
      <c r="O26" s="38" t="str">
        <f>IF(印刷プレビュー!$X35="","",VLOOKUP(印刷プレビュー!$X35,データシート!$B$70:AN475,14,FALSE))</f>
        <v/>
      </c>
      <c r="P26" s="30" t="str">
        <f>IF(印刷プレビュー!$X35="","",VLOOKUP(印刷プレビュー!$X35,データシート!$B$70:AO475,15,FALSE))</f>
        <v/>
      </c>
      <c r="Q26" s="38" t="str">
        <f>IF(印刷プレビュー!$X35="","",VLOOKUP(印刷プレビュー!$X35,データシート!$B$70:AP475,16,FALSE))</f>
        <v/>
      </c>
      <c r="R26" s="72" t="str">
        <f>IF(P26&lt;&gt;"","0.0",IF(印刷プレビュー!$X33="","",VLOOKUP(印刷プレビュー!$X33,データシート!$B$70:AQ502,17,FALSE)))</f>
        <v/>
      </c>
      <c r="S26" s="38" t="str">
        <f>IF(印刷プレビュー!$X35="","",VLOOKUP(印刷プレビュー!$X35,データシート!$B$70:AR475,18,FALSE))</f>
        <v/>
      </c>
      <c r="T26" s="38" t="str">
        <f>IF(印刷プレビュー!$X35="","",VLOOKUP(印刷プレビュー!$X35,データシート!$B$70:AS475,19,FALSE))</f>
        <v/>
      </c>
      <c r="U26" s="38" t="str">
        <f>IF(印刷プレビュー!$X35="","",VLOOKUP(印刷プレビュー!$X35,データシート!$B$70:AT475,20,FALSE))</f>
        <v/>
      </c>
      <c r="V26" s="38" t="str">
        <f>IF(印刷プレビュー!$X35="","",VLOOKUP(印刷プレビュー!$X35,データシート!$B$70:AU475,21,FALSE))</f>
        <v/>
      </c>
      <c r="W26" s="38" t="str">
        <f>IF(印刷プレビュー!$X35="","",VLOOKUP(印刷プレビュー!$X35,データシート!$B$70:AU475,22,FALSE))</f>
        <v/>
      </c>
    </row>
    <row r="27" spans="1:28">
      <c r="B27" s="191" t="str">
        <f>IF(印刷プレビュー!X36="","",印刷プレビュー!X36)</f>
        <v/>
      </c>
      <c r="C27" s="191"/>
      <c r="D27" s="38" t="str">
        <f>IF(印刷プレビュー!$X36="","",VLOOKUP(印刷プレビュー!$X36,データシート!$B$70:AC475,3,FALSE))</f>
        <v/>
      </c>
      <c r="E27" s="38" t="str">
        <f>IF(印刷プレビュー!$X36="","",VLOOKUP(印刷プレビュー!$X36,データシート!$B$70:AD475,4,FALSE))</f>
        <v/>
      </c>
      <c r="F27" s="38" t="str">
        <f>IF(印刷プレビュー!$X36="","",VLOOKUP(印刷プレビュー!$X36,データシート!$B$70:AE475,5,FALSE))</f>
        <v/>
      </c>
      <c r="G27" s="38" t="str">
        <f>IF(印刷プレビュー!$X36="","",VLOOKUP(印刷プレビュー!$X36,データシート!$B$70:AF475,6,FALSE))</f>
        <v/>
      </c>
      <c r="H27" s="38" t="str">
        <f>IF(印刷プレビュー!$X36="","",VLOOKUP(印刷プレビュー!$X36,データシート!$B$70:AG475,7,FALSE))</f>
        <v/>
      </c>
      <c r="I27" s="38" t="str">
        <f>IF(印刷プレビュー!$X36="","",VLOOKUP(印刷プレビュー!$X36,データシート!$B$70:AH475,8,FALSE))</f>
        <v/>
      </c>
      <c r="J27" s="38" t="str">
        <f>IF(印刷プレビュー!$X36="","",VLOOKUP(印刷プレビュー!$X36,データシート!$B$70:AI475,9,FALSE))</f>
        <v/>
      </c>
      <c r="K27" s="38" t="str">
        <f>IF(印刷プレビュー!$X36="","",VLOOKUP(印刷プレビュー!$X36,データシート!$B$70:AJ475,10,FALSE))</f>
        <v/>
      </c>
      <c r="L27" s="30" t="str">
        <f>IF(印刷プレビュー!$X36="","",VLOOKUP(印刷プレビュー!$X36,データシート!$B$70:AK475,11,FALSE))</f>
        <v/>
      </c>
      <c r="M27" s="38" t="str">
        <f>IF(印刷プレビュー!$X36="","",VLOOKUP(印刷プレビュー!$X36,データシート!$B$70:AL475,12,FALSE))</f>
        <v/>
      </c>
      <c r="N27" s="38" t="str">
        <f>IF(印刷プレビュー!$X36="","",VLOOKUP(印刷プレビュー!$X36,データシート!$B$70:AM475,13,FALSE))</f>
        <v/>
      </c>
      <c r="O27" s="38" t="str">
        <f>IF(印刷プレビュー!$X36="","",VLOOKUP(印刷プレビュー!$X36,データシート!$B$70:AN475,14,FALSE))</f>
        <v/>
      </c>
      <c r="P27" s="30" t="str">
        <f>IF(印刷プレビュー!$X36="","",VLOOKUP(印刷プレビュー!$X36,データシート!$B$70:AO475,15,FALSE))</f>
        <v/>
      </c>
      <c r="Q27" s="38" t="str">
        <f>IF(印刷プレビュー!$X36="","",VLOOKUP(印刷プレビュー!$X36,データシート!$B$70:AP475,16,FALSE))</f>
        <v/>
      </c>
      <c r="R27" s="72" t="str">
        <f>IF(P27&lt;&gt;"","0.0",IF(印刷プレビュー!$X34="","",VLOOKUP(印刷プレビュー!$X34,データシート!$B$70:AQ503,17,FALSE)))</f>
        <v/>
      </c>
      <c r="S27" s="38" t="str">
        <f>IF(印刷プレビュー!$X36="","",VLOOKUP(印刷プレビュー!$X36,データシート!$B$70:AR475,18,FALSE))</f>
        <v/>
      </c>
      <c r="T27" s="38" t="str">
        <f>IF(印刷プレビュー!$X36="","",VLOOKUP(印刷プレビュー!$X36,データシート!$B$70:AS475,19,FALSE))</f>
        <v/>
      </c>
      <c r="U27" s="38" t="str">
        <f>IF(印刷プレビュー!$X36="","",VLOOKUP(印刷プレビュー!$X36,データシート!$B$70:AT475,20,FALSE))</f>
        <v/>
      </c>
      <c r="V27" s="38" t="str">
        <f>IF(印刷プレビュー!$X36="","",VLOOKUP(印刷プレビュー!$X36,データシート!$B$70:AU475,21,FALSE))</f>
        <v/>
      </c>
      <c r="W27" s="38" t="str">
        <f>IF(印刷プレビュー!$X36="","",VLOOKUP(印刷プレビュー!$X36,データシート!$B$70:AU475,22,FALSE))</f>
        <v/>
      </c>
    </row>
    <row r="28" spans="1:28">
      <c r="B28" s="191" t="str">
        <f>IF(印刷プレビュー!X37="","",印刷プレビュー!X37)</f>
        <v/>
      </c>
      <c r="C28" s="191"/>
      <c r="D28" s="38" t="str">
        <f>IF(印刷プレビュー!$X37="","",VLOOKUP(印刷プレビュー!$X37,データシート!$B$70:AC475,3,FALSE))</f>
        <v/>
      </c>
      <c r="E28" s="38" t="str">
        <f>IF(印刷プレビュー!$X37="","",VLOOKUP(印刷プレビュー!$X37,データシート!$B$70:AD475,4,FALSE))</f>
        <v/>
      </c>
      <c r="F28" s="38" t="str">
        <f>IF(印刷プレビュー!$X37="","",VLOOKUP(印刷プレビュー!$X37,データシート!$B$70:AE475,5,FALSE))</f>
        <v/>
      </c>
      <c r="G28" s="38" t="str">
        <f>IF(印刷プレビュー!$X37="","",VLOOKUP(印刷プレビュー!$X37,データシート!$B$70:AF475,6,FALSE))</f>
        <v/>
      </c>
      <c r="H28" s="38" t="str">
        <f>IF(印刷プレビュー!$X37="","",VLOOKUP(印刷プレビュー!$X37,データシート!$B$70:AG475,7,FALSE))</f>
        <v/>
      </c>
      <c r="I28" s="38" t="str">
        <f>IF(印刷プレビュー!$X37="","",VLOOKUP(印刷プレビュー!$X37,データシート!$B$70:AH475,8,FALSE))</f>
        <v/>
      </c>
      <c r="J28" s="38" t="str">
        <f>IF(印刷プレビュー!$X37="","",VLOOKUP(印刷プレビュー!$X37,データシート!$B$70:AI475,9,FALSE))</f>
        <v/>
      </c>
      <c r="K28" s="38" t="str">
        <f>IF(印刷プレビュー!$X37="","",VLOOKUP(印刷プレビュー!$X37,データシート!$B$70:AJ475,10,FALSE))</f>
        <v/>
      </c>
      <c r="L28" s="30" t="str">
        <f>IF(印刷プレビュー!$X37="","",VLOOKUP(印刷プレビュー!$X37,データシート!$B$70:AK475,11,FALSE))</f>
        <v/>
      </c>
      <c r="M28" s="38" t="str">
        <f>IF(印刷プレビュー!$X37="","",VLOOKUP(印刷プレビュー!$X37,データシート!$B$70:AL475,12,FALSE))</f>
        <v/>
      </c>
      <c r="N28" s="38" t="str">
        <f>IF(印刷プレビュー!$X37="","",VLOOKUP(印刷プレビュー!$X37,データシート!$B$70:AM475,13,FALSE))</f>
        <v/>
      </c>
      <c r="O28" s="38" t="str">
        <f>IF(印刷プレビュー!$X37="","",VLOOKUP(印刷プレビュー!$X37,データシート!$B$70:AN475,14,FALSE))</f>
        <v/>
      </c>
      <c r="P28" s="30" t="str">
        <f>IF(印刷プレビュー!$X37="","",VLOOKUP(印刷プレビュー!$X37,データシート!$B$70:AO475,15,FALSE))</f>
        <v/>
      </c>
      <c r="Q28" s="38" t="str">
        <f>IF(印刷プレビュー!$X37="","",VLOOKUP(印刷プレビュー!$X37,データシート!$B$70:AP475,16,FALSE))</f>
        <v/>
      </c>
      <c r="R28" s="72" t="str">
        <f>IF(P28&lt;&gt;"","0.0",IF(印刷プレビュー!$X35="","",VLOOKUP(印刷プレビュー!$X35,データシート!$B$70:AQ504,17,FALSE)))</f>
        <v/>
      </c>
      <c r="S28" s="38" t="str">
        <f>IF(印刷プレビュー!$X37="","",VLOOKUP(印刷プレビュー!$X37,データシート!$B$70:AR475,18,FALSE))</f>
        <v/>
      </c>
      <c r="T28" s="38" t="str">
        <f>IF(印刷プレビュー!$X37="","",VLOOKUP(印刷プレビュー!$X37,データシート!$B$70:AS475,19,FALSE))</f>
        <v/>
      </c>
      <c r="U28" s="38" t="str">
        <f>IF(印刷プレビュー!$X37="","",VLOOKUP(印刷プレビュー!$X37,データシート!$B$70:AT475,20,FALSE))</f>
        <v/>
      </c>
      <c r="V28" s="38" t="str">
        <f>IF(印刷プレビュー!$X37="","",VLOOKUP(印刷プレビュー!$X37,データシート!$B$70:AU475,21,FALSE))</f>
        <v/>
      </c>
      <c r="W28" s="38" t="str">
        <f>IF(印刷プレビュー!$X37="","",VLOOKUP(印刷プレビュー!$X37,データシート!$B$70:AU475,22,FALSE))</f>
        <v/>
      </c>
    </row>
    <row r="29" spans="1:28">
      <c r="B29" s="191" t="str">
        <f>IF(印刷プレビュー!X38="","",印刷プレビュー!X38)</f>
        <v/>
      </c>
      <c r="C29" s="191"/>
      <c r="D29" s="38" t="str">
        <f>IF(印刷プレビュー!$X38="","",VLOOKUP(印刷プレビュー!$X38,データシート!$B$70:AC475,3,FALSE))</f>
        <v/>
      </c>
      <c r="E29" s="38" t="str">
        <f>IF(印刷プレビュー!$X38="","",VLOOKUP(印刷プレビュー!$X38,データシート!$B$70:AD475,4,FALSE))</f>
        <v/>
      </c>
      <c r="F29" s="38" t="str">
        <f>IF(印刷プレビュー!$X38="","",VLOOKUP(印刷プレビュー!$X38,データシート!$B$70:AE475,5,FALSE))</f>
        <v/>
      </c>
      <c r="G29" s="38" t="str">
        <f>IF(印刷プレビュー!$X38="","",VLOOKUP(印刷プレビュー!$X38,データシート!$B$70:AF475,6,FALSE))</f>
        <v/>
      </c>
      <c r="H29" s="38" t="str">
        <f>IF(印刷プレビュー!$X38="","",VLOOKUP(印刷プレビュー!$X38,データシート!$B$70:AG475,7,FALSE))</f>
        <v/>
      </c>
      <c r="I29" s="38" t="str">
        <f>IF(印刷プレビュー!$X38="","",VLOOKUP(印刷プレビュー!$X38,データシート!$B$70:AH475,8,FALSE))</f>
        <v/>
      </c>
      <c r="J29" s="38" t="str">
        <f>IF(印刷プレビュー!$X38="","",VLOOKUP(印刷プレビュー!$X38,データシート!$B$70:AI475,9,FALSE))</f>
        <v/>
      </c>
      <c r="K29" s="38" t="str">
        <f>IF(印刷プレビュー!$X38="","",VLOOKUP(印刷プレビュー!$X38,データシート!$B$70:AJ475,10,FALSE))</f>
        <v/>
      </c>
      <c r="L29" s="30" t="str">
        <f>IF(印刷プレビュー!$X38="","",VLOOKUP(印刷プレビュー!$X38,データシート!$B$70:AK475,11,FALSE))</f>
        <v/>
      </c>
      <c r="M29" s="38" t="str">
        <f>IF(印刷プレビュー!$X38="","",VLOOKUP(印刷プレビュー!$X38,データシート!$B$70:AL475,12,FALSE))</f>
        <v/>
      </c>
      <c r="N29" s="38" t="str">
        <f>IF(印刷プレビュー!$X38="","",VLOOKUP(印刷プレビュー!$X38,データシート!$B$70:AM475,13,FALSE))</f>
        <v/>
      </c>
      <c r="O29" s="38" t="str">
        <f>IF(印刷プレビュー!$X38="","",VLOOKUP(印刷プレビュー!$X38,データシート!$B$70:AN475,14,FALSE))</f>
        <v/>
      </c>
      <c r="P29" s="30" t="str">
        <f>IF(印刷プレビュー!$X38="","",VLOOKUP(印刷プレビュー!$X38,データシート!$B$70:AO475,15,FALSE))</f>
        <v/>
      </c>
      <c r="Q29" s="38" t="str">
        <f>IF(印刷プレビュー!$X38="","",VLOOKUP(印刷プレビュー!$X38,データシート!$B$70:AP475,16,FALSE))</f>
        <v/>
      </c>
      <c r="R29" s="72" t="str">
        <f>IF(P29&lt;&gt;"","0.0",IF(印刷プレビュー!$X36="","",VLOOKUP(印刷プレビュー!$X36,データシート!$B$70:AQ505,17,FALSE)))</f>
        <v/>
      </c>
      <c r="S29" s="38" t="str">
        <f>IF(印刷プレビュー!$X38="","",VLOOKUP(印刷プレビュー!$X38,データシート!$B$70:AR475,18,FALSE))</f>
        <v/>
      </c>
      <c r="T29" s="38" t="str">
        <f>IF(印刷プレビュー!$X38="","",VLOOKUP(印刷プレビュー!$X38,データシート!$B$70:AS475,19,FALSE))</f>
        <v/>
      </c>
      <c r="U29" s="38" t="str">
        <f>IF(印刷プレビュー!$X38="","",VLOOKUP(印刷プレビュー!$X38,データシート!$B$70:AT475,20,FALSE))</f>
        <v/>
      </c>
      <c r="V29" s="38" t="str">
        <f>IF(印刷プレビュー!$X38="","",VLOOKUP(印刷プレビュー!$X38,データシート!$B$70:AU475,21,FALSE))</f>
        <v/>
      </c>
      <c r="W29" s="38" t="str">
        <f>IF(印刷プレビュー!$X38="","",VLOOKUP(印刷プレビュー!$X38,データシート!$B$70:AU475,22,FALSE))</f>
        <v/>
      </c>
    </row>
    <row r="30" spans="1:28">
      <c r="B30" s="59"/>
      <c r="C30" s="59"/>
      <c r="D30" s="38"/>
      <c r="E30" s="38"/>
      <c r="F30" s="38"/>
      <c r="G30" s="38"/>
      <c r="H30" s="38"/>
      <c r="I30" s="38"/>
      <c r="J30" s="38"/>
      <c r="K30" s="38"/>
      <c r="L30" s="30"/>
      <c r="M30" s="38"/>
      <c r="N30" s="38"/>
      <c r="O30" s="38"/>
      <c r="P30" s="30"/>
      <c r="Q30" s="38"/>
      <c r="R30" s="72"/>
      <c r="S30" s="38"/>
      <c r="T30" s="38"/>
      <c r="U30" s="38"/>
      <c r="V30" s="38"/>
    </row>
    <row r="31" spans="1:28">
      <c r="D31" s="38" t="str">
        <f>IF(D26="","",VALUE(D26))</f>
        <v/>
      </c>
      <c r="E31" s="37" t="s">
        <v>81</v>
      </c>
      <c r="F31" s="38" t="str">
        <f>IF(F26="","",VALUE(IF(F27="",F26,IF(F28="",F27,IF(F29="",F28,F29)))))</f>
        <v/>
      </c>
      <c r="G31" s="37" t="s">
        <v>82</v>
      </c>
      <c r="H31" s="38" t="str">
        <f>H26</f>
        <v/>
      </c>
      <c r="I31" s="38" t="str">
        <f>IF(T26="","",VALUE(I26))</f>
        <v/>
      </c>
      <c r="J31" s="30" t="str">
        <f>IF(印刷プレビュー!Y34="YES","本    社",IF(AND(J26&lt;&gt;"",J27=""),J26,IF(AND(J27&lt;&gt;"",J28=""),J27,IF(AND(J28&lt;&gt;"",J29=""),J28,J29))))</f>
        <v/>
      </c>
      <c r="K31" s="38" t="str">
        <f>IF(K26="","",VALUE(IF(K27="",K26,IF(K28="",K27,IF(K29="",K28,K29)))))</f>
        <v/>
      </c>
      <c r="L31" s="30" t="str">
        <f>IF(AND(L26=L27,L26=L28,L26=L29),L26,IF(AND(L26=L27,L26=L28),L26&amp;"    "&amp;L29,IF(L26=L27,L26&amp;"    "&amp;L28,L26&amp;"    "&amp;L27)))</f>
        <v/>
      </c>
      <c r="M31" s="38" t="str">
        <f>IF(M26="","",VALUE(M26))</f>
        <v/>
      </c>
      <c r="N31" s="38" t="str">
        <f>IF(N26="","",VALUE(IF(N27="",N26,IF(N28="",N27,IF(N29="",N28,N29)))))</f>
        <v/>
      </c>
      <c r="O31" s="38" t="str">
        <f>IF(O26="","",IF(O27="",O26+印刷プレビュー!AA37,IF(O28="",O26+O27+印刷プレビュー!AA37,IF(O29="",O26+O27+O28+印刷プレビュー!AA37,O26+O27+O28+O29+印刷プレビュー!AA37))))</f>
        <v/>
      </c>
      <c r="P31" s="39">
        <f>SUM(P26:P29)+印刷プレビュー!AB38</f>
        <v>0</v>
      </c>
      <c r="Q31" s="38" t="str">
        <f>IF(Q26="","",IF(Q27="",Q26,IF(Q28="",Q26+Q27,IF(Q29="",Q26+Q27+Q28,Q26+Q27+Q28+Q29))))</f>
        <v/>
      </c>
      <c r="R31" s="72" t="str">
        <f>IF(R26="","0:0",IF(R27="",R26,IF(R28="",R26+R27,IF(R29="",R26+R27+R28,R26+R27+R28+R29))))</f>
        <v>0:0</v>
      </c>
      <c r="U31" s="38" t="str">
        <f>IF(OR(W26="B",W26="B2"),IF(U26&gt;F21,F21,F31),"0:00")</f>
        <v>0:00</v>
      </c>
      <c r="V31" s="38" t="str">
        <f>IF(OR(W26="B",W26="B2"),IF(V26&lt;F26,D23,D26),"0:00")</f>
        <v>0:00</v>
      </c>
      <c r="W31" t="str">
        <f>IF(W26="B"," ",IF(OR(W26="B2",V26="10:41"),"",""))</f>
        <v/>
      </c>
      <c r="X31" s="38" t="str">
        <f>IF(OR(W26="B",W26="B2"),"0:00",IF(OR(W36="B",W36="B2"),IF($D$3&gt;D31,(D41-D31),(F31-F21)),IF(OR(W26="K",W26="K2",W26="T"),IF($D$3&gt;D31,(D31-D21),(F31-F21)),"0:00")))</f>
        <v>0:00</v>
      </c>
      <c r="Y31" s="38" t="str">
        <f>IF(OR(W26="K",W26="K2",W26="T"),Q31+印刷プレビュー!AA38,"0:00")</f>
        <v>0:00</v>
      </c>
      <c r="Z31" s="38" t="str">
        <f>IF(OR(W26="",W26="K",W26="K2",W26="K2",W26="T",W26="B",W26="B2"),"0:00",IF(AND(W26="Y1",$D$3&gt;データシート!$P$61-データシート!$P$64),($D$3-D31)-データシート!$Q$61,IF(AND(W26="Y1",$D$3&lt;データシート!$P$61-データシート!$P$64,$D$3&gt;データシート!$O$61+データシート!$P$64),$D$3-D31-($D$3-データシート!$O$61)-データシート!$R$61,IF(AND(W26="Y1",$D$3&gt;データシート!$N$61-データシート!$P$64),$D$3-D31-データシート!$R$61,IF(AND(W26="Y1",$D$3&lt;データシート!$N$61-データシート!$P$64,$D$3&gt;データシート!$M$61+データシート!$P$64),$D$3-D31-($D$3-データシート!$M$61),IF(AND(W26="Y2",$D$3&gt;データシート!$P$62-データシート!$P$64),$D$3-D31-データシート!$Q$62,IF(AND(W26="Y2",$D$3&lt;データシート!$P$62-データシート!$P$64,$D$3&gt;データシート!$O$62+データシート!$P$64),$D$3-D31-($D$3-データシート!$O$62)-データシート!$R$62,IF(AND(W26="Y2",$D$3&gt;データシート!$N$62-データシート!$P$64),$D$3-D31-データシート!$R$62,IF(AND(W26="Y2",$D$3&lt;データシート!$N$62-データシート!$P$64,$D$3&gt;データシート!$M$62+データシート!$P$64),$D$3-D31-($D$3-データシート!$M$62),IF(AND(W26="Y4",D31&lt;データシート!$M$63+データシート!$P$64),F31-F21-データシート!$R$63,IF(AND(W26="Y4",D31&lt;データシート!$N$63-データシート!$P$64,D31&gt;データシート!$M$63+データシート!$P$64),F31-F21-(データシート!$N$63-D31),IF(AND(W26="Y4",D31&gt;データシート!$N$63-データシート!$P$64),F31-F21,IF(AND(W26="Y5",D31&lt;データシート!$M$64+データシート!$P$64),F31-F21-データシート!$R$64,IF(AND(W26="Y5",D31&lt;データシート!$N$64-データシート!$P$64,D31&gt;データシート!$M$64+データシート!$P$64),F31-F21-(データシート!$N$64-D31),IF(AND(W26="Y5",D31&gt;データシート!$N$64-データシート!$P$64),F31-F21,)))))))))))))))</f>
        <v>0:00</v>
      </c>
      <c r="AA31" s="38" t="str">
        <f>IF(OR(W26="B",W26="B2"),Q26,"0:00")</f>
        <v>0:00</v>
      </c>
      <c r="AB31" s="38" t="str">
        <f>IF(OR(W26="B",W26="B2"),IF($D$3&gt;U31,$D$3-U31,V31-U31),"0:00")</f>
        <v>0:00</v>
      </c>
    </row>
    <row r="32" spans="1:28">
      <c r="D32" s="38" t="str">
        <f>IF(印刷プレビュー!$X40="","",VLOOKUP(印刷プレビュー!$X40,データシート!$B$70:AC475,3,FALSE))</f>
        <v/>
      </c>
      <c r="I32" s="37" t="s">
        <v>83</v>
      </c>
      <c r="K32" s="37" t="s">
        <v>84</v>
      </c>
      <c r="M32" s="37" t="s">
        <v>83</v>
      </c>
      <c r="N32" s="37" t="s">
        <v>84</v>
      </c>
    </row>
    <row r="33" spans="1:29">
      <c r="D33" s="38" t="str">
        <f>IF(印刷プレビュー!$X41="","",VLOOKUP(印刷プレビュー!$X41,データシート!$B$70:AC475,3,FALSE))</f>
        <v/>
      </c>
    </row>
    <row r="34" spans="1:29">
      <c r="A34" t="s">
        <v>88</v>
      </c>
      <c r="D34" s="38" t="str">
        <f>IF(印刷プレビュー!$X42="","",VLOOKUP(印刷プレビュー!$X42,データシート!$B$70:AC475,3,FALSE))</f>
        <v/>
      </c>
    </row>
    <row r="35" spans="1:29">
      <c r="B35" s="27" t="s">
        <v>23</v>
      </c>
      <c r="C35" s="27" t="s">
        <v>39</v>
      </c>
      <c r="D35" s="37" t="s">
        <v>22</v>
      </c>
      <c r="E35" s="37" t="s">
        <v>21</v>
      </c>
      <c r="F35" s="37" t="s">
        <v>2</v>
      </c>
      <c r="G35" s="37" t="s">
        <v>21</v>
      </c>
      <c r="H35" s="15" t="s">
        <v>24</v>
      </c>
      <c r="I35" s="37" t="s">
        <v>26</v>
      </c>
      <c r="J35" s="37" t="s">
        <v>25</v>
      </c>
      <c r="K35" s="37" t="s">
        <v>27</v>
      </c>
      <c r="L35" t="s">
        <v>28</v>
      </c>
      <c r="M35" s="37" t="s">
        <v>30</v>
      </c>
      <c r="N35" s="37" t="s">
        <v>31</v>
      </c>
      <c r="O35" s="37" t="s">
        <v>32</v>
      </c>
      <c r="P35" t="s">
        <v>33</v>
      </c>
      <c r="Q35" s="37" t="s">
        <v>43</v>
      </c>
      <c r="R35" s="86" t="s">
        <v>154</v>
      </c>
      <c r="S35" s="37" t="s">
        <v>34</v>
      </c>
      <c r="T35" s="37" t="s">
        <v>35</v>
      </c>
      <c r="U35" s="37" t="s">
        <v>36</v>
      </c>
      <c r="V35" s="37" t="s">
        <v>37</v>
      </c>
    </row>
    <row r="36" spans="1:29">
      <c r="B36" s="191" t="str">
        <f>IF(印刷プレビュー!X45="","",印刷プレビュー!X45)</f>
        <v/>
      </c>
      <c r="C36" s="191"/>
      <c r="D36" s="38" t="str">
        <f>IF(印刷プレビュー!$X45="","",VLOOKUP(印刷プレビュー!$X45,データシート!$B$70:AC475,3,FALSE))</f>
        <v/>
      </c>
      <c r="E36" s="38" t="str">
        <f>IF(印刷プレビュー!$X45="","",VLOOKUP(印刷プレビュー!$X45,データシート!$B$70:AD475,4,FALSE))</f>
        <v/>
      </c>
      <c r="F36" s="38" t="str">
        <f>IF(印刷プレビュー!$X45="","",VLOOKUP(印刷プレビュー!$X45,データシート!$B$70:AE475,5,FALSE))</f>
        <v/>
      </c>
      <c r="G36" s="38" t="str">
        <f>IF(印刷プレビュー!$X45="","",VLOOKUP(印刷プレビュー!$X45,データシート!$B$70:AF475,6,FALSE))</f>
        <v/>
      </c>
      <c r="H36" s="38" t="str">
        <f>IF(印刷プレビュー!$X45="","",VLOOKUP(印刷プレビュー!$X45,データシート!$B$70:AG475,7,FALSE))</f>
        <v/>
      </c>
      <c r="I36" s="38" t="str">
        <f>IF(印刷プレビュー!$X45="","",VLOOKUP(印刷プレビュー!$X45,データシート!$B$70:AH475,8,FALSE))</f>
        <v/>
      </c>
      <c r="J36" s="38" t="str">
        <f>IF(印刷プレビュー!$X45="","",VLOOKUP(印刷プレビュー!$X45,データシート!$B$70:AI475,9,FALSE))</f>
        <v/>
      </c>
      <c r="K36" s="38" t="str">
        <f>IF(印刷プレビュー!$X45="","",VLOOKUP(印刷プレビュー!$X45,データシート!$B$70:AJ475,10,FALSE))</f>
        <v/>
      </c>
      <c r="L36" s="30" t="str">
        <f>IF(印刷プレビュー!$X45="","",VLOOKUP(印刷プレビュー!$X45,データシート!$B$70:AK475,11,FALSE))</f>
        <v/>
      </c>
      <c r="M36" s="38" t="str">
        <f>IF(印刷プレビュー!$X45="","",VLOOKUP(印刷プレビュー!$X45,データシート!$B$70:AL475,12,FALSE))</f>
        <v/>
      </c>
      <c r="N36" s="38" t="str">
        <f>IF(印刷プレビュー!$X45="","",VLOOKUP(印刷プレビュー!$X45,データシート!$B$70:AM475,13,FALSE))</f>
        <v/>
      </c>
      <c r="O36" s="38" t="str">
        <f>IF(印刷プレビュー!$X45="","",VLOOKUP(印刷プレビュー!$X45,データシート!$B$70:AN475,14,FALSE))</f>
        <v/>
      </c>
      <c r="P36" s="30" t="str">
        <f>IF(印刷プレビュー!$X45="","",VLOOKUP(印刷プレビュー!$X45,データシート!$B$70:AO475,15,FALSE))</f>
        <v/>
      </c>
      <c r="Q36" s="38" t="str">
        <f>IF(印刷プレビュー!$X45="","",VLOOKUP(印刷プレビュー!$X45,データシート!$B$70:AP475,16,FALSE))</f>
        <v/>
      </c>
      <c r="R36" s="72" t="str">
        <f>IF(P36&lt;&gt;"","0.0",IF(印刷プレビュー!$X43="","",VLOOKUP(印刷プレビュー!$X43,データシート!$B$70:AQ512,17,FALSE)))</f>
        <v/>
      </c>
      <c r="S36" s="38" t="str">
        <f>IF(印刷プレビュー!$X45="","",VLOOKUP(印刷プレビュー!$X45,データシート!$B$70:AR475,18,FALSE))</f>
        <v/>
      </c>
      <c r="T36" s="38" t="str">
        <f>IF(印刷プレビュー!$X45="","",VLOOKUP(印刷プレビュー!$X45,データシート!$B$70:AS475,19,FALSE))</f>
        <v/>
      </c>
      <c r="U36" s="38" t="str">
        <f>IF(印刷プレビュー!$X45="","",VLOOKUP(印刷プレビュー!$X45,データシート!$B$70:AT475,20,FALSE))</f>
        <v/>
      </c>
      <c r="V36" s="38" t="str">
        <f>IF(印刷プレビュー!$X45="","",VLOOKUP(印刷プレビュー!$X45,データシート!$B$70:AU475,21,FALSE))</f>
        <v/>
      </c>
      <c r="W36" s="38" t="str">
        <f>IF(印刷プレビュー!$X4="","",VLOOKUP(印刷プレビュー!$X4,データシート!$B$70:AU475,22,FALSE))</f>
        <v/>
      </c>
    </row>
    <row r="37" spans="1:29">
      <c r="B37" s="191" t="str">
        <f>IF(印刷プレビュー!X46="","",印刷プレビュー!X46)</f>
        <v/>
      </c>
      <c r="C37" s="191"/>
      <c r="D37" s="38" t="str">
        <f>IF(印刷プレビュー!$X46="","",VLOOKUP(印刷プレビュー!$X46,データシート!$B$70:AC475,3,FALSE))</f>
        <v/>
      </c>
      <c r="E37" s="38" t="str">
        <f>IF(印刷プレビュー!$X46="","",VLOOKUP(印刷プレビュー!$X46,データシート!$B$70:AD475,4,FALSE))</f>
        <v/>
      </c>
      <c r="F37" s="38" t="str">
        <f>IF(印刷プレビュー!$X46="","",VLOOKUP(印刷プレビュー!$X46,データシート!$B$70:AE475,5,FALSE))</f>
        <v/>
      </c>
      <c r="G37" s="38" t="str">
        <f>IF(印刷プレビュー!$X46="","",VLOOKUP(印刷プレビュー!$X46,データシート!$B$70:AF475,6,FALSE))</f>
        <v/>
      </c>
      <c r="H37" s="38" t="str">
        <f>IF(印刷プレビュー!$X46="","",VLOOKUP(印刷プレビュー!$X46,データシート!$B$70:AG475,7,FALSE))</f>
        <v/>
      </c>
      <c r="I37" s="38" t="str">
        <f>IF(印刷プレビュー!$X46="","",VLOOKUP(印刷プレビュー!$X46,データシート!$B$70:AH475,8,FALSE))</f>
        <v/>
      </c>
      <c r="J37" s="38" t="str">
        <f>IF(印刷プレビュー!$X46="","",VLOOKUP(印刷プレビュー!$X46,データシート!$B$70:AI475,9,FALSE))</f>
        <v/>
      </c>
      <c r="K37" s="38" t="str">
        <f>IF(印刷プレビュー!$X46="","",VLOOKUP(印刷プレビュー!$X46,データシート!$B$70:AJ475,10,FALSE))</f>
        <v/>
      </c>
      <c r="L37" s="30" t="str">
        <f>IF(印刷プレビュー!$X46="","",VLOOKUP(印刷プレビュー!$X46,データシート!$B$70:AK475,11,FALSE))</f>
        <v/>
      </c>
      <c r="M37" s="38" t="str">
        <f>IF(印刷プレビュー!$X46="","",VLOOKUP(印刷プレビュー!$X46,データシート!$B$70:AL475,12,FALSE))</f>
        <v/>
      </c>
      <c r="N37" s="38" t="str">
        <f>IF(印刷プレビュー!$X46="","",VLOOKUP(印刷プレビュー!$X46,データシート!$B$70:AM475,13,FALSE))</f>
        <v/>
      </c>
      <c r="O37" s="38" t="str">
        <f>IF(印刷プレビュー!$X46="","",VLOOKUP(印刷プレビュー!$X46,データシート!$B$70:AN475,14,FALSE))</f>
        <v/>
      </c>
      <c r="P37" s="30" t="str">
        <f>IF(印刷プレビュー!$X46="","",VLOOKUP(印刷プレビュー!$X46,データシート!$B$70:AO475,15,FALSE))</f>
        <v/>
      </c>
      <c r="Q37" s="38" t="str">
        <f>IF(印刷プレビュー!$X46="","",VLOOKUP(印刷プレビュー!$X46,データシート!$B$70:AP475,16,FALSE))</f>
        <v/>
      </c>
      <c r="R37" s="72" t="str">
        <f>IF(P37&lt;&gt;"","0.0",IF(印刷プレビュー!$X44="","",VLOOKUP(印刷プレビュー!$X44,データシート!$B$70:AQ513,17,FALSE)))</f>
        <v/>
      </c>
      <c r="S37" s="38" t="str">
        <f>IF(印刷プレビュー!$X46="","",VLOOKUP(印刷プレビュー!$X46,データシート!$B$70:AR475,18,FALSE))</f>
        <v/>
      </c>
      <c r="T37" s="38" t="str">
        <f>IF(印刷プレビュー!$X46="","",VLOOKUP(印刷プレビュー!$X46,データシート!$B$70:AS475,19,FALSE))</f>
        <v/>
      </c>
      <c r="U37" s="38" t="str">
        <f>IF(印刷プレビュー!$X46="","",VLOOKUP(印刷プレビュー!$X46,データシート!$B$70:AT475,20,FALSE))</f>
        <v/>
      </c>
      <c r="V37" s="38" t="str">
        <f>IF(印刷プレビュー!$X46="","",VLOOKUP(印刷プレビュー!$X46,データシート!$B$70:AU475,21,FALSE))</f>
        <v/>
      </c>
      <c r="W37" s="38" t="str">
        <f>IF(印刷プレビュー!$X45="","",VLOOKUP(印刷プレビュー!$X45,データシート!$B$70:AU475,22,FALSE))</f>
        <v/>
      </c>
    </row>
    <row r="38" spans="1:29">
      <c r="B38" s="191" t="str">
        <f>IF(印刷プレビュー!X47="","",印刷プレビュー!X47)</f>
        <v/>
      </c>
      <c r="C38" s="191"/>
      <c r="D38" s="38" t="str">
        <f>IF(印刷プレビュー!$X47="","",VLOOKUP(印刷プレビュー!$X47,データシート!$B$70:AC476,3,FALSE))</f>
        <v/>
      </c>
      <c r="E38" s="38" t="str">
        <f>IF(印刷プレビュー!$X47="","",VLOOKUP(印刷プレビュー!$X47,データシート!$B$70:AD476,4,FALSE))</f>
        <v/>
      </c>
      <c r="F38" s="38" t="str">
        <f>IF(印刷プレビュー!$X47="","",VLOOKUP(印刷プレビュー!$X47,データシート!$B$70:AE476,5,FALSE))</f>
        <v/>
      </c>
      <c r="G38" s="38" t="str">
        <f>IF(印刷プレビュー!$X47="","",VLOOKUP(印刷プレビュー!$X47,データシート!$B$70:AF476,6,FALSE))</f>
        <v/>
      </c>
      <c r="H38" s="38" t="str">
        <f>IF(印刷プレビュー!$X47="","",VLOOKUP(印刷プレビュー!$X47,データシート!$B$70:AG476,7,FALSE))</f>
        <v/>
      </c>
      <c r="I38" s="38" t="str">
        <f>IF(印刷プレビュー!$X47="","",VLOOKUP(印刷プレビュー!$X47,データシート!$B$70:AH476,8,FALSE))</f>
        <v/>
      </c>
      <c r="J38" s="38" t="str">
        <f>IF(印刷プレビュー!$X47="","",VLOOKUP(印刷プレビュー!$X47,データシート!$B$70:AI476,9,FALSE))</f>
        <v/>
      </c>
      <c r="K38" s="38" t="str">
        <f>IF(印刷プレビュー!$X47="","",VLOOKUP(印刷プレビュー!$X47,データシート!$B$70:AJ476,10,FALSE))</f>
        <v/>
      </c>
      <c r="L38" s="30" t="str">
        <f>IF(印刷プレビュー!$X47="","",VLOOKUP(印刷プレビュー!$X47,データシート!$B$70:AK476,11,FALSE))</f>
        <v/>
      </c>
      <c r="M38" s="38" t="str">
        <f>IF(印刷プレビュー!$X47="","",VLOOKUP(印刷プレビュー!$X47,データシート!$B$70:AL476,12,FALSE))</f>
        <v/>
      </c>
      <c r="N38" s="38" t="str">
        <f>IF(印刷プレビュー!$X47="","",VLOOKUP(印刷プレビュー!$X47,データシート!$B$70:AM476,13,FALSE))</f>
        <v/>
      </c>
      <c r="O38" s="38" t="str">
        <f>IF(印刷プレビュー!$X47="","",VLOOKUP(印刷プレビュー!$X47,データシート!$B$70:AN476,14,FALSE))</f>
        <v/>
      </c>
      <c r="P38" s="30" t="str">
        <f>IF(印刷プレビュー!$X47="","",VLOOKUP(印刷プレビュー!$X47,データシート!$B$70:AO476,15,FALSE))</f>
        <v/>
      </c>
      <c r="Q38" s="38" t="str">
        <f>IF(印刷プレビュー!$X47="","",VLOOKUP(印刷プレビュー!$X47,データシート!$B$70:AP476,16,FALSE))</f>
        <v/>
      </c>
      <c r="R38" s="72" t="str">
        <f>IF(P38&lt;&gt;"","0.0",IF(印刷プレビュー!$X45="","",VLOOKUP(印刷プレビュー!$X45,データシート!$B$70:AQ514,17,FALSE)))</f>
        <v/>
      </c>
      <c r="S38" s="38" t="str">
        <f>IF(印刷プレビュー!$X47="","",VLOOKUP(印刷プレビュー!$X47,データシート!$B$70:AR476,18,FALSE))</f>
        <v/>
      </c>
      <c r="T38" s="38" t="str">
        <f>IF(印刷プレビュー!$X47="","",VLOOKUP(印刷プレビュー!$X47,データシート!$B$70:AS476,19,FALSE))</f>
        <v/>
      </c>
      <c r="U38" s="38" t="str">
        <f>IF(印刷プレビュー!$X47="","",VLOOKUP(印刷プレビュー!$X47,データシート!$B$70:AT476,20,FALSE))</f>
        <v/>
      </c>
      <c r="V38" s="38" t="str">
        <f>IF(印刷プレビュー!$X47="","",VLOOKUP(印刷プレビュー!$X47,データシート!$B$70:AU476,21,FALSE))</f>
        <v/>
      </c>
      <c r="W38" s="38" t="str">
        <f>IF(印刷プレビュー!$X46="","",VLOOKUP(印刷プレビュー!$X46,データシート!$B$70:AU475,22,FALSE))</f>
        <v/>
      </c>
    </row>
    <row r="39" spans="1:29">
      <c r="B39" s="191" t="str">
        <f>IF(印刷プレビュー!X48="","",印刷プレビュー!X48)</f>
        <v/>
      </c>
      <c r="C39" s="191"/>
      <c r="D39" s="38" t="str">
        <f>IF(印刷プレビュー!$X48="","",VLOOKUP(印刷プレビュー!$X48,データシート!$B$70:AC477,3,FALSE))</f>
        <v/>
      </c>
      <c r="E39" s="38" t="str">
        <f>IF(印刷プレビュー!$X48="","",VLOOKUP(印刷プレビュー!$X48,データシート!$B$70:AD477,4,FALSE))</f>
        <v/>
      </c>
      <c r="F39" s="38" t="str">
        <f>IF(印刷プレビュー!$X48="","",VLOOKUP(印刷プレビュー!$X48,データシート!$B$70:AE477,5,FALSE))</f>
        <v/>
      </c>
      <c r="G39" s="38" t="str">
        <f>IF(印刷プレビュー!$X48="","",VLOOKUP(印刷プレビュー!$X48,データシート!$B$70:AF477,6,FALSE))</f>
        <v/>
      </c>
      <c r="H39" s="38" t="str">
        <f>IF(印刷プレビュー!$X48="","",VLOOKUP(印刷プレビュー!$X48,データシート!$B$70:AG477,7,FALSE))</f>
        <v/>
      </c>
      <c r="I39" s="38" t="str">
        <f>IF(印刷プレビュー!$X48="","",VLOOKUP(印刷プレビュー!$X48,データシート!$B$70:AH477,8,FALSE))</f>
        <v/>
      </c>
      <c r="J39" s="38" t="str">
        <f>IF(印刷プレビュー!$X48="","",VLOOKUP(印刷プレビュー!$X48,データシート!$B$70:AI477,9,FALSE))</f>
        <v/>
      </c>
      <c r="K39" s="38" t="str">
        <f>IF(印刷プレビュー!$X48="","",VLOOKUP(印刷プレビュー!$X48,データシート!$B$70:AJ477,10,FALSE))</f>
        <v/>
      </c>
      <c r="L39" s="30" t="str">
        <f>IF(印刷プレビュー!$X48="","",VLOOKUP(印刷プレビュー!$X48,データシート!$B$70:AK477,11,FALSE))</f>
        <v/>
      </c>
      <c r="M39" s="38" t="str">
        <f>IF(印刷プレビュー!$X48="","",VLOOKUP(印刷プレビュー!$X48,データシート!$B$70:AL477,12,FALSE))</f>
        <v/>
      </c>
      <c r="N39" s="38" t="str">
        <f>IF(印刷プレビュー!$X48="","",VLOOKUP(印刷プレビュー!$X48,データシート!$B$70:AM477,13,FALSE))</f>
        <v/>
      </c>
      <c r="O39" s="38" t="str">
        <f>IF(印刷プレビュー!$X48="","",VLOOKUP(印刷プレビュー!$X48,データシート!$B$70:AN477,14,FALSE))</f>
        <v/>
      </c>
      <c r="P39" s="30" t="str">
        <f>IF(印刷プレビュー!$X48="","",VLOOKUP(印刷プレビュー!$X48,データシート!$B$70:AO477,15,FALSE))</f>
        <v/>
      </c>
      <c r="Q39" s="38" t="str">
        <f>IF(印刷プレビュー!$X48="","",VLOOKUP(印刷プレビュー!$X48,データシート!$B$70:AP477,16,FALSE))</f>
        <v/>
      </c>
      <c r="R39" s="72" t="str">
        <f>IF(P39&lt;&gt;"","0.0",IF(印刷プレビュー!$X46="","",VLOOKUP(印刷プレビュー!$X46,データシート!$B$70:AQ515,17,FALSE)))</f>
        <v/>
      </c>
      <c r="S39" s="38" t="str">
        <f>IF(印刷プレビュー!$X48="","",VLOOKUP(印刷プレビュー!$X48,データシート!$B$70:AR477,18,FALSE))</f>
        <v/>
      </c>
      <c r="T39" s="38" t="str">
        <f>IF(印刷プレビュー!$X48="","",VLOOKUP(印刷プレビュー!$X48,データシート!$B$70:AS477,19,FALSE))</f>
        <v/>
      </c>
      <c r="U39" s="38" t="str">
        <f>IF(印刷プレビュー!$X48="","",VLOOKUP(印刷プレビュー!$X48,データシート!$B$70:AT477,20,FALSE))</f>
        <v/>
      </c>
      <c r="V39" s="38" t="str">
        <f>IF(印刷プレビュー!$X48="","",VLOOKUP(印刷プレビュー!$X48,データシート!$B$70:AU477,21,FALSE))</f>
        <v/>
      </c>
      <c r="W39" s="38" t="str">
        <f>IF(印刷プレビュー!$X47="","",VLOOKUP(印刷プレビュー!$X47,データシート!$B$70:AU476,22,FALSE))</f>
        <v/>
      </c>
    </row>
    <row r="40" spans="1:29">
      <c r="D40" s="38" t="str">
        <f>IF(印刷プレビュー!$X48="","",VLOOKUP(印刷プレビュー!$X48,データシート!$B$70:AC477,3,FALSE))</f>
        <v/>
      </c>
      <c r="Z40" s="38"/>
    </row>
    <row r="41" spans="1:29">
      <c r="D41" s="38" t="str">
        <f>IF(D36="","",VALUE(D36))</f>
        <v/>
      </c>
      <c r="E41" s="37" t="s">
        <v>81</v>
      </c>
      <c r="F41" s="38" t="str">
        <f>IF(F36="","",VALUE(IF(F37="",F36,IF(F38="",F37,IF(F39="",F38,F39)))))</f>
        <v/>
      </c>
      <c r="G41" s="37" t="s">
        <v>82</v>
      </c>
      <c r="H41" s="38" t="str">
        <f>H36</f>
        <v/>
      </c>
      <c r="I41" s="38" t="str">
        <f>IF(T36="","",VALUE(I36))</f>
        <v/>
      </c>
      <c r="J41" s="30" t="str">
        <f>IF(AND(J36&lt;&gt;"",J37=""),J36,IF(AND(J37&lt;&gt;"",J38=""),J37,IF(AND(J38&lt;&gt;"",J39=""),J38,J39)))</f>
        <v/>
      </c>
      <c r="K41" s="38" t="str">
        <f>IF(K36="","",VALUE(IF(K37="",K36,IF(K38="",K37,IF(K39="",K38,K39)))))</f>
        <v/>
      </c>
      <c r="L41" s="27" t="str">
        <f>IF(AND(L36=L37,L36=L38,L36=L39),L36,IF(AND(L36=L37,L36=L38),L36&amp;"    "&amp;L39,IF(L36=L37,L36&amp;"    "&amp;L38,L36&amp;"    "&amp;L37)))</f>
        <v/>
      </c>
      <c r="M41" s="38" t="str">
        <f>IF(M36="","",VALUE(M36))</f>
        <v/>
      </c>
      <c r="N41" s="38" t="str">
        <f>IF(N36="","",VALUE(IF(N37="",N36,IF(N38="",N37,IF(N39="",N38,N39)))))</f>
        <v/>
      </c>
      <c r="O41" s="30" t="str">
        <f>IF(O36="","",IF(O37="",O36,IF(O38="",O36+O37,IF(O39="",O36+O37+O38,O36+O37+O38+O39+印刷プレビュー!AB38))))</f>
        <v/>
      </c>
      <c r="P41" s="39">
        <f>SUM(P36:P39)</f>
        <v>0</v>
      </c>
      <c r="Q41" s="30" t="str">
        <f>IF(Q36="","",IF(Q37="",Q36,IF(Q38="",Q36+Q37,IF(Q39="",Q36+Q37+Q38,Q36+Q37+Q38+Q39))))</f>
        <v/>
      </c>
      <c r="R41" s="72" t="str">
        <f>IF(R36="","0:0",IF(R37="",R36,IF(R38="",R36+R37,IF(R39="",R36+R37+R38,R36+R37+R38+R39))))</f>
        <v>0:0</v>
      </c>
      <c r="U41" s="38" t="str">
        <f>IF(OR(W36="B",W36="B2"),IF(U36&gt;F31,F31,F41),"0:00")</f>
        <v>0:00</v>
      </c>
      <c r="V41" s="38" t="str">
        <f>IF(OR(W36="B",W36="B2"),IF(V36&lt;F36,D33,D36),"0:00")</f>
        <v>0:00</v>
      </c>
      <c r="W41" t="str">
        <f>IF(W36="B"," ",IF(OR(W36="B2",V36="10:41"),"",""))</f>
        <v/>
      </c>
      <c r="X41" s="38" t="str">
        <f>IF(OR(W36="B",W36="B2"),"0:00",IF(OR(W46="B",W46="B2"),IF($D$3&gt;D41,(D51-D41),(F41-F31)),IF(OR(W36="K",W36="K2",W36="T"),IF($D$3&gt;D41,(D41-D31),(F41-F31)),"0:00")))</f>
        <v>0:00</v>
      </c>
      <c r="Y41" s="38" t="str">
        <f>IF(OR(W36="K",W36="K2",W36="T"),Q41+印刷プレビュー!AB46,"0:00")</f>
        <v>0:00</v>
      </c>
      <c r="Z41" s="38" t="str">
        <f>IF(OR(W36="",W36="K",W36="K2",W36="K2",W36="T",W36="B",W36="B2"),"0:00",IF(AND(W36="Y1",$D$3&gt;データシート!$P$61-データシート!$P$64),($D$3-D41)-データシート!$Q$61,IF(AND(W36="Y1",$D$3&lt;データシート!$P$61-データシート!$P$64,$D$3&gt;データシート!$O$61+データシート!$P$64),$D$3-D41-($D$3-データシート!$O$61)-データシート!$R$61,IF(AND(W36="Y1",$D$3&gt;データシート!$N$61-データシート!$P$64),$D$3-D41-データシート!$R$61,IF(AND(W36="Y1",$D$3&lt;データシート!$N$61-データシート!$P$64,$D$3&gt;データシート!$M$61+データシート!$P$64),$D$3-D41-($D$3-データシート!$M$61),IF(AND(W36="Y2",$D$3&gt;データシート!$P$62-データシート!$P$64),$D$3-D41-データシート!$Q$62,IF(AND(W36="Y2",$D$3&lt;データシート!$P$62-データシート!$P$64,$D$3&gt;データシート!$O$62+データシート!$P$64),$D$3-D41-($D$3-データシート!$O$62)-データシート!$R$62,IF(AND(W36="Y2",$D$3&gt;データシート!$N$62-データシート!$P$64),$D$3-D41-データシート!$R$62,IF(AND(W36="Y2",$D$3&lt;データシート!$N$62-データシート!$P$64,$D$3&gt;データシート!$M$62+データシート!$P$64),$D$3-D41-($D$3-データシート!$M$62),IF(AND(W36="Y4",D41&lt;データシート!$M$63+データシート!$P$64),F41-F31-データシート!$R$63,IF(AND(W36="Y4",D41&lt;データシート!$N$63-データシート!$P$64,D41&gt;データシート!$M$63+データシート!$P$64),F41-F31-(データシート!$N$63-D41),IF(AND(W36="Y4",D41&gt;データシート!$N$63-データシート!$P$64),F41-F31,IF(AND(W36="Y5",D41&lt;データシート!$M$64+データシート!$P$64),F41-F31-データシート!$R$64,IF(AND(W36="Y5",D41&lt;データシート!$N$64-データシート!$P$64,D41&gt;データシート!$M$64+データシート!$P$64),F41-F31-(データシート!$N$64-D41),IF(AND(W36="Y5",D41&gt;データシート!$N$64-データシート!$P$64),F41-F31,)))))))))))))))</f>
        <v>0:00</v>
      </c>
      <c r="AA41" s="38" t="str">
        <f>IF(OR(W36="B",W36="B2"),Q36,"0:00")</f>
        <v>0:00</v>
      </c>
      <c r="AB41" s="38" t="str">
        <f>IF(OR(W36="B",W36="B2"),IF($D$3&gt;U41,$D$3-U41,V41-U41),"0:00")</f>
        <v>0:00</v>
      </c>
    </row>
    <row r="42" spans="1:29">
      <c r="I42" s="37" t="s">
        <v>83</v>
      </c>
      <c r="K42" s="37" t="s">
        <v>84</v>
      </c>
      <c r="M42" s="37" t="s">
        <v>83</v>
      </c>
      <c r="N42" s="37" t="s">
        <v>84</v>
      </c>
    </row>
    <row r="44" spans="1:29">
      <c r="A44" s="70" t="s">
        <v>97</v>
      </c>
      <c r="D44" s="37" t="str">
        <f>IF(D6="","",MIN(D3,D11,D21,D31,D41))</f>
        <v/>
      </c>
      <c r="E44" s="37" t="s">
        <v>81</v>
      </c>
      <c r="F44" s="37" t="str">
        <f>IF(F6="","",MAX(F11,F21,F31,F41))</f>
        <v/>
      </c>
      <c r="G44" s="37" t="s">
        <v>82</v>
      </c>
      <c r="H44" s="38" t="str">
        <f>H6</f>
        <v/>
      </c>
      <c r="I44" s="37" t="str">
        <f>IF(I6="","",MIN(I11,I21,I31,I41))</f>
        <v/>
      </c>
      <c r="J44" s="38" t="str">
        <f>IF(AND(J41="",J31&lt;&gt;""),J31,IF(AND(J31="",J21&lt;&gt;""),J21,IF(AND(J21="",J11&lt;&gt;""),J11,J41)))</f>
        <v/>
      </c>
      <c r="K44" s="37" t="str">
        <f>IF(K6="","",MAX(K11,K21,K31,K41))</f>
        <v/>
      </c>
      <c r="L44" s="27" t="str">
        <f>IF(AND(L39=L40,L39=L41,L39=L42),L39,IF(AND(L39=L40,L39=L41),L39&amp;"    "&amp;L42,IF(L39=L40,L39&amp;"    "&amp;L41,L39&amp;"    "&amp;L40)))</f>
        <v/>
      </c>
      <c r="M44" s="37" t="str">
        <f>IF(M6="","",MIN(M11,M21,M31,M41))</f>
        <v/>
      </c>
      <c r="N44" s="37" t="str">
        <f>IF(N6="","",MAX(N11,N21,N31,N41))</f>
        <v/>
      </c>
      <c r="O44" s="38" t="e">
        <f>IF(O11="","",IF(O21="",O11,IF(O31="",O11+O21,IF(O41="",O11+O21+O31,O11+O21+O31+O41))))+印刷プレビュー!AB38</f>
        <v>#VALUE!</v>
      </c>
      <c r="P44" s="39">
        <f>P11+P21+P31+P41</f>
        <v>0</v>
      </c>
      <c r="Q44" s="38" t="str">
        <f>IF(Q11="","",IF(Q21="",Q11,IF(Q31="",Q11+Q21,IF(Q41="",Q11+Q21+Q31,Q11+Q21+Q31+Q41))))</f>
        <v/>
      </c>
      <c r="R44" s="86">
        <f>R11+R21+R31+R41</f>
        <v>0</v>
      </c>
      <c r="W44" s="27" t="str">
        <f>IF(AND(W39=W40,W39=W41,W39=W42),W39,IF(AND(W39=W40,W39=W41),W39&amp;"    "&amp;W42,IF(W39=W40,W39&amp;"    "&amp;W41,W39&amp;"    "&amp;W40)))</f>
        <v/>
      </c>
      <c r="X44" s="38" t="e">
        <f ca="1">IF(X11="","",IF($D$3&gt;D21,MAX(X11,X21,X31,X41),X11+X21+X31+X41))</f>
        <v>#VALUE!</v>
      </c>
      <c r="Y44" s="38">
        <f>IF(Y11="","0:00",IF(Y21="",Y11,IF(Y31="",Y11+Y21,IF(Y41="",Y11+Y21+Y31,Y11+Y21+Y31+Y41))))</f>
        <v>0</v>
      </c>
      <c r="Z44" s="38">
        <f>IF(Z11="","",IF(Z21="",Z11,IF(Z31="",Z11+Z21,IF(Z41="",Z11+Z21+Z31,Z11+Z21+Z31+Z41))))</f>
        <v>0</v>
      </c>
      <c r="AA44" s="38">
        <f>IF(AA11="","",IF(AA21="",AA11,IF(AA31="",AA11+AA21,IF(AA41="",AA11+AA21+AA31,AA11+AA21+AA31+AA41))))</f>
        <v>0</v>
      </c>
      <c r="AB44" s="38">
        <f>IF(AB11="","",IF(AB21="",AB11,IF(AB31="",AB11+AB21,IF(AB41="",AB11+AB21+AB31,AB11+AB21+AB31+AB41))))</f>
        <v>0</v>
      </c>
    </row>
    <row r="45" spans="1:29">
      <c r="I45" s="37" t="s">
        <v>83</v>
      </c>
      <c r="K45" s="37" t="s">
        <v>84</v>
      </c>
      <c r="M45" s="37" t="s">
        <v>83</v>
      </c>
      <c r="N45" s="37" t="s">
        <v>84</v>
      </c>
    </row>
    <row r="47" spans="1:29">
      <c r="A47" s="69" t="s">
        <v>98</v>
      </c>
      <c r="D47" s="38" t="e">
        <f ca="1">IF(D6="",VALUE(D3),IF(VALUE(D3)&lt;D44,VALUE(D3),D44))</f>
        <v>#VALUE!</v>
      </c>
      <c r="F47" s="38" t="e">
        <f ca="1">IF(F6="",VALUE(F3),IF(VALUE(F3)&gt;F44,VALUE(F3),F44))</f>
        <v>#VALUE!</v>
      </c>
      <c r="H47" s="30" t="e">
        <f ca="1">IF(H6="",H3,IF(VALUE($D$3)&gt;D6,H44,H3))</f>
        <v>#VALUE!</v>
      </c>
      <c r="I47" s="38" t="e">
        <f ca="1">IF(I6="",VALUE(I3),IF(VALUE(I3)&lt;I44,VALUE(I3),I44))</f>
        <v>#VALUE!</v>
      </c>
      <c r="J47" s="30" t="e">
        <f ca="1">IF(J6="",J3,IF(VALUE($D$3)&gt;D6,J3,J44))</f>
        <v>#VALUE!</v>
      </c>
      <c r="K47" s="38" t="e">
        <f ca="1">IF(K6="",VALUE(K3),IF(VALUE(K3)&gt;K44,VALUE(K3),K44))</f>
        <v>#VALUE!</v>
      </c>
      <c r="M47" s="38" t="e">
        <f ca="1">IF(M6="",VALUE(M3),IF(VALUE(M3)&lt;M44,VALUE(M3),M44))</f>
        <v>#VALUE!</v>
      </c>
      <c r="N47" s="38" t="e">
        <f ca="1">IF(N6="",VALUE(N3),IF(VALUE(N3)&gt;N44,VALUE(N3),N44))</f>
        <v>#VALUE!</v>
      </c>
      <c r="O47" s="38" t="e">
        <f ca="1">IF(O6="",O3,O3+O44)</f>
        <v>#VALUE!</v>
      </c>
      <c r="P47" s="95" t="e">
        <f ca="1">P3+P44</f>
        <v>#VALUE!</v>
      </c>
      <c r="Q47" s="96" t="e">
        <f ca="1">IF(Q6="",Q3,MAX(Q3,Q44))</f>
        <v>#VALUE!</v>
      </c>
      <c r="R47" s="94" t="e">
        <f ca="1">R3+R44</f>
        <v>#VALUE!</v>
      </c>
      <c r="S47" s="94" t="e">
        <f ca="1">IF(P47+R47&gt;300,P47+R47,"")</f>
        <v>#VALUE!</v>
      </c>
      <c r="X47" s="38" t="e">
        <f ca="1">X44</f>
        <v>#VALUE!</v>
      </c>
      <c r="Y47" s="38">
        <f>Y44</f>
        <v>0</v>
      </c>
      <c r="Z47" s="37">
        <f>Z11+Z21+Z31+Z41</f>
        <v>0</v>
      </c>
      <c r="AA47" s="37">
        <f>AA11+AA21+AA31+AA41</f>
        <v>0</v>
      </c>
      <c r="AB47" s="37">
        <f>AB11+AB21+AB31+AB41</f>
        <v>0</v>
      </c>
      <c r="AC47" s="37" t="e">
        <f ca="1">Y48+Z47+AA47</f>
        <v>#VALUE!</v>
      </c>
    </row>
    <row r="48" spans="1:29">
      <c r="X48" s="37" t="e">
        <f ca="1">IF(X47*0.6&gt;Y47,X47,"")</f>
        <v>#VALUE!</v>
      </c>
      <c r="Y48" s="38" t="e">
        <f ca="1">IF(X47*0.6&gt;Y47,"0:00",Y47)</f>
        <v>#VALUE!</v>
      </c>
      <c r="Z48" s="71" t="s">
        <v>118</v>
      </c>
      <c r="AC48" s="71" t="s">
        <v>118</v>
      </c>
    </row>
    <row r="49" spans="16:29">
      <c r="P49" s="90" t="e">
        <f ca="1">VALUE(IF(P47&gt;200,P47-200,0))</f>
        <v>#VALUE!</v>
      </c>
      <c r="Q49" t="e">
        <f ca="1">IF(P49="","","キロオーバー"&amp;"  "&amp;TEXT(P49,"###.#")&amp;"km")</f>
        <v>#VALUE!</v>
      </c>
      <c r="X49" s="190" t="s">
        <v>117</v>
      </c>
      <c r="Y49" s="190"/>
      <c r="Z49" s="74" t="s">
        <v>103</v>
      </c>
      <c r="AC49" s="74" t="s">
        <v>126</v>
      </c>
    </row>
    <row r="50" spans="16:29">
      <c r="P50" s="89" t="e">
        <f ca="1">VALUE(IF(P47+R47&gt;300,P47+R47-300,0))</f>
        <v>#VALUE!</v>
      </c>
      <c r="Q50" s="37" t="e">
        <f ca="1">IF(P50="","","通算キロオーバー"&amp;"  "&amp;TEXT(P50,"###.#")&amp;"km")</f>
        <v>#VALUE!</v>
      </c>
      <c r="X50" s="37"/>
    </row>
    <row r="51" spans="16:29">
      <c r="P51" s="71"/>
    </row>
    <row r="52" spans="16:29">
      <c r="R52" s="67" t="e">
        <f ca="1">IF(X3="","","全拘束時間   "&amp;TEXT(X3,"h:mm"))</f>
        <v>#VALUE!</v>
      </c>
      <c r="S52" s="132"/>
    </row>
    <row r="53" spans="16:29">
      <c r="R53" s="67" t="e">
        <f ca="1">IF(Y3="","","全実働時間   "&amp;TEXT(Y3,"h:mm"))</f>
        <v>#VALUE!</v>
      </c>
      <c r="S53" s="132"/>
    </row>
  </sheetData>
  <mergeCells count="19">
    <mergeCell ref="B16:C16"/>
    <mergeCell ref="B17:C17"/>
    <mergeCell ref="B19:C19"/>
    <mergeCell ref="X49:Y49"/>
    <mergeCell ref="B6:C6"/>
    <mergeCell ref="B7:C7"/>
    <mergeCell ref="B8:C8"/>
    <mergeCell ref="B9:C9"/>
    <mergeCell ref="B38:C38"/>
    <mergeCell ref="B39:C39"/>
    <mergeCell ref="B10:C10"/>
    <mergeCell ref="B20:C20"/>
    <mergeCell ref="B18:C18"/>
    <mergeCell ref="B29:C29"/>
    <mergeCell ref="B26:C26"/>
    <mergeCell ref="B27:C27"/>
    <mergeCell ref="B28:C28"/>
    <mergeCell ref="B36:C36"/>
    <mergeCell ref="B37:C37"/>
  </mergeCells>
  <phoneticPr fontId="1"/>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79DCF-38C1-43EB-8CB9-32F14C4AF425}">
  <sheetPr codeName="Sheet4"/>
  <dimension ref="B2:D139"/>
  <sheetViews>
    <sheetView topLeftCell="A102" workbookViewId="0">
      <selection activeCell="C137" sqref="C137"/>
    </sheetView>
  </sheetViews>
  <sheetFormatPr defaultRowHeight="13"/>
  <cols>
    <col min="2" max="2" width="9" style="36"/>
  </cols>
  <sheetData>
    <row r="2" spans="2:4">
      <c r="D2" s="36">
        <v>3.472222222222222E-3</v>
      </c>
    </row>
    <row r="3" spans="2:4">
      <c r="B3" s="36">
        <v>0.47916666666666669</v>
      </c>
      <c r="D3" s="36">
        <v>3.472222222222222E-3</v>
      </c>
    </row>
    <row r="4" spans="2:4">
      <c r="B4" s="36">
        <f t="shared" ref="B4:B15" si="0">B3+$D$2</f>
        <v>0.4826388888888889</v>
      </c>
    </row>
    <row r="5" spans="2:4">
      <c r="B5" s="36">
        <f t="shared" si="0"/>
        <v>0.4861111111111111</v>
      </c>
    </row>
    <row r="6" spans="2:4">
      <c r="B6" s="36">
        <f t="shared" si="0"/>
        <v>0.48958333333333331</v>
      </c>
    </row>
    <row r="7" spans="2:4">
      <c r="B7" s="36">
        <f t="shared" si="0"/>
        <v>0.49305555555555552</v>
      </c>
    </row>
    <row r="8" spans="2:4">
      <c r="B8" s="36">
        <f t="shared" si="0"/>
        <v>0.49652777777777773</v>
      </c>
    </row>
    <row r="10" spans="2:4">
      <c r="B10" s="36">
        <f>B8+$D$2</f>
        <v>0.49999999999999994</v>
      </c>
    </row>
    <row r="11" spans="2:4">
      <c r="B11" s="36">
        <f t="shared" si="0"/>
        <v>0.50347222222222221</v>
      </c>
    </row>
    <row r="12" spans="2:4">
      <c r="B12" s="36">
        <f t="shared" si="0"/>
        <v>0.50694444444444442</v>
      </c>
    </row>
    <row r="13" spans="2:4">
      <c r="B13" s="36">
        <f t="shared" si="0"/>
        <v>0.51041666666666663</v>
      </c>
    </row>
    <row r="14" spans="2:4">
      <c r="B14" s="36">
        <f t="shared" si="0"/>
        <v>0.51388888888888884</v>
      </c>
    </row>
    <row r="15" spans="2:4">
      <c r="B15" s="36">
        <f t="shared" si="0"/>
        <v>0.51736111111111105</v>
      </c>
    </row>
    <row r="16" spans="2:4">
      <c r="B16" s="36">
        <f t="shared" ref="B16:B84" si="1">B15+$D$2</f>
        <v>0.52083333333333326</v>
      </c>
    </row>
    <row r="17" spans="2:2">
      <c r="B17" s="36">
        <f t="shared" si="1"/>
        <v>0.52430555555555547</v>
      </c>
    </row>
    <row r="18" spans="2:2">
      <c r="B18" s="36">
        <f t="shared" si="1"/>
        <v>0.52777777777777768</v>
      </c>
    </row>
    <row r="19" spans="2:2">
      <c r="B19" s="36">
        <f t="shared" si="1"/>
        <v>0.53124999999999989</v>
      </c>
    </row>
    <row r="20" spans="2:2">
      <c r="B20" s="36">
        <f t="shared" si="1"/>
        <v>0.5347222222222221</v>
      </c>
    </row>
    <row r="21" spans="2:2">
      <c r="B21" s="36">
        <f t="shared" si="1"/>
        <v>0.53819444444444431</v>
      </c>
    </row>
    <row r="23" spans="2:2">
      <c r="B23" s="36">
        <f>B21+$D$2</f>
        <v>0.54166666666666652</v>
      </c>
    </row>
    <row r="24" spans="2:2">
      <c r="B24" s="36">
        <f t="shared" si="1"/>
        <v>0.54513888888888873</v>
      </c>
    </row>
    <row r="25" spans="2:2">
      <c r="B25" s="36">
        <f t="shared" si="1"/>
        <v>0.54861111111111094</v>
      </c>
    </row>
    <row r="26" spans="2:2">
      <c r="B26" s="36">
        <f t="shared" si="1"/>
        <v>0.55208333333333315</v>
      </c>
    </row>
    <row r="27" spans="2:2">
      <c r="B27" s="36">
        <f t="shared" si="1"/>
        <v>0.55555555555555536</v>
      </c>
    </row>
    <row r="28" spans="2:2">
      <c r="B28" s="36">
        <f t="shared" si="1"/>
        <v>0.55902777777777757</v>
      </c>
    </row>
    <row r="29" spans="2:2">
      <c r="B29" s="36">
        <f t="shared" si="1"/>
        <v>0.56249999999999978</v>
      </c>
    </row>
    <row r="30" spans="2:2">
      <c r="B30" s="36">
        <f t="shared" si="1"/>
        <v>0.56597222222222199</v>
      </c>
    </row>
    <row r="31" spans="2:2">
      <c r="B31" s="36">
        <f t="shared" si="1"/>
        <v>0.5694444444444442</v>
      </c>
    </row>
    <row r="32" spans="2:2">
      <c r="B32" s="36">
        <f t="shared" si="1"/>
        <v>0.57291666666666641</v>
      </c>
    </row>
    <row r="33" spans="2:2">
      <c r="B33" s="36">
        <f t="shared" si="1"/>
        <v>0.57638888888888862</v>
      </c>
    </row>
    <row r="34" spans="2:2">
      <c r="B34" s="36">
        <f t="shared" si="1"/>
        <v>0.57986111111111083</v>
      </c>
    </row>
    <row r="36" spans="2:2">
      <c r="B36" s="36">
        <f>B34+$D$2</f>
        <v>0.58333333333333304</v>
      </c>
    </row>
    <row r="37" spans="2:2">
      <c r="B37" s="36">
        <f t="shared" si="1"/>
        <v>0.58680555555555525</v>
      </c>
    </row>
    <row r="38" spans="2:2">
      <c r="B38" s="36">
        <f t="shared" si="1"/>
        <v>0.59027777777777746</v>
      </c>
    </row>
    <row r="39" spans="2:2">
      <c r="B39" s="36">
        <f t="shared" si="1"/>
        <v>0.59374999999999967</v>
      </c>
    </row>
    <row r="40" spans="2:2">
      <c r="B40" s="36">
        <f t="shared" si="1"/>
        <v>0.59722222222222188</v>
      </c>
    </row>
    <row r="41" spans="2:2">
      <c r="B41" s="36">
        <f t="shared" si="1"/>
        <v>0.60069444444444409</v>
      </c>
    </row>
    <row r="42" spans="2:2">
      <c r="B42" s="36">
        <f t="shared" si="1"/>
        <v>0.6041666666666663</v>
      </c>
    </row>
    <row r="43" spans="2:2">
      <c r="B43" s="36">
        <f t="shared" si="1"/>
        <v>0.60763888888888851</v>
      </c>
    </row>
    <row r="44" spans="2:2">
      <c r="B44" s="36">
        <f t="shared" si="1"/>
        <v>0.61111111111111072</v>
      </c>
    </row>
    <row r="45" spans="2:2">
      <c r="B45" s="36">
        <f t="shared" si="1"/>
        <v>0.61458333333333293</v>
      </c>
    </row>
    <row r="46" spans="2:2">
      <c r="B46" s="36">
        <f t="shared" si="1"/>
        <v>0.61805555555555514</v>
      </c>
    </row>
    <row r="47" spans="2:2">
      <c r="B47" s="36">
        <f t="shared" si="1"/>
        <v>0.62152777777777735</v>
      </c>
    </row>
    <row r="49" spans="2:2">
      <c r="B49" s="36">
        <f>B47+$D$2</f>
        <v>0.62499999999999956</v>
      </c>
    </row>
    <row r="50" spans="2:2">
      <c r="B50" s="36">
        <f t="shared" si="1"/>
        <v>0.62847222222222177</v>
      </c>
    </row>
    <row r="51" spans="2:2">
      <c r="B51" s="36">
        <f t="shared" si="1"/>
        <v>0.63194444444444398</v>
      </c>
    </row>
    <row r="52" spans="2:2">
      <c r="B52" s="36">
        <f t="shared" si="1"/>
        <v>0.63541666666666619</v>
      </c>
    </row>
    <row r="53" spans="2:2">
      <c r="B53" s="36">
        <f t="shared" si="1"/>
        <v>0.6388888888888884</v>
      </c>
    </row>
    <row r="54" spans="2:2">
      <c r="B54" s="36">
        <f t="shared" si="1"/>
        <v>0.64236111111111061</v>
      </c>
    </row>
    <row r="55" spans="2:2">
      <c r="B55" s="36">
        <f t="shared" si="1"/>
        <v>0.64583333333333282</v>
      </c>
    </row>
    <row r="56" spans="2:2">
      <c r="B56" s="36">
        <f t="shared" si="1"/>
        <v>0.64930555555555503</v>
      </c>
    </row>
    <row r="57" spans="2:2">
      <c r="B57" s="36">
        <f t="shared" si="1"/>
        <v>0.65277777777777724</v>
      </c>
    </row>
    <row r="58" spans="2:2">
      <c r="B58" s="36">
        <f t="shared" si="1"/>
        <v>0.65624999999999944</v>
      </c>
    </row>
    <row r="59" spans="2:2">
      <c r="B59" s="36">
        <f t="shared" si="1"/>
        <v>0.65972222222222165</v>
      </c>
    </row>
    <row r="60" spans="2:2">
      <c r="B60" s="36">
        <f t="shared" si="1"/>
        <v>0.66319444444444386</v>
      </c>
    </row>
    <row r="62" spans="2:2">
      <c r="B62" s="36">
        <f>B60+$D$2</f>
        <v>0.66666666666666607</v>
      </c>
    </row>
    <row r="63" spans="2:2">
      <c r="B63" s="36">
        <f t="shared" si="1"/>
        <v>0.67013888888888828</v>
      </c>
    </row>
    <row r="64" spans="2:2">
      <c r="B64" s="36">
        <f t="shared" si="1"/>
        <v>0.67361111111111049</v>
      </c>
    </row>
    <row r="65" spans="2:2">
      <c r="B65" s="36">
        <f t="shared" si="1"/>
        <v>0.6770833333333327</v>
      </c>
    </row>
    <row r="66" spans="2:2">
      <c r="B66" s="36">
        <f t="shared" si="1"/>
        <v>0.68055555555555491</v>
      </c>
    </row>
    <row r="67" spans="2:2">
      <c r="B67" s="36">
        <f t="shared" si="1"/>
        <v>0.68402777777777712</v>
      </c>
    </row>
    <row r="68" spans="2:2">
      <c r="B68" s="36">
        <f t="shared" si="1"/>
        <v>0.68749999999999933</v>
      </c>
    </row>
    <row r="69" spans="2:2">
      <c r="B69" s="36">
        <f t="shared" si="1"/>
        <v>0.69097222222222154</v>
      </c>
    </row>
    <row r="70" spans="2:2">
      <c r="B70" s="36">
        <f t="shared" si="1"/>
        <v>0.69444444444444375</v>
      </c>
    </row>
    <row r="71" spans="2:2">
      <c r="B71" s="36">
        <f t="shared" si="1"/>
        <v>0.69791666666666596</v>
      </c>
    </row>
    <row r="72" spans="2:2">
      <c r="B72" s="36">
        <f t="shared" si="1"/>
        <v>0.70138888888888817</v>
      </c>
    </row>
    <row r="73" spans="2:2">
      <c r="B73" s="36">
        <f t="shared" si="1"/>
        <v>0.70486111111111038</v>
      </c>
    </row>
    <row r="75" spans="2:2">
      <c r="B75" s="36">
        <f>B73+$D$2</f>
        <v>0.70833333333333259</v>
      </c>
    </row>
    <row r="76" spans="2:2">
      <c r="B76" s="36">
        <f t="shared" si="1"/>
        <v>0.7118055555555548</v>
      </c>
    </row>
    <row r="77" spans="2:2">
      <c r="B77" s="36">
        <f t="shared" si="1"/>
        <v>0.71527777777777701</v>
      </c>
    </row>
    <row r="78" spans="2:2">
      <c r="B78" s="36">
        <f t="shared" si="1"/>
        <v>0.71874999999999922</v>
      </c>
    </row>
    <row r="79" spans="2:2">
      <c r="B79" s="36">
        <f t="shared" si="1"/>
        <v>0.72222222222222143</v>
      </c>
    </row>
    <row r="80" spans="2:2">
      <c r="B80" s="36">
        <f t="shared" si="1"/>
        <v>0.72569444444444364</v>
      </c>
    </row>
    <row r="81" spans="2:2">
      <c r="B81" s="36">
        <f t="shared" si="1"/>
        <v>0.72916666666666585</v>
      </c>
    </row>
    <row r="82" spans="2:2">
      <c r="B82" s="36">
        <f t="shared" si="1"/>
        <v>0.73263888888888806</v>
      </c>
    </row>
    <row r="83" spans="2:2">
      <c r="B83" s="36">
        <f t="shared" si="1"/>
        <v>0.73611111111111027</v>
      </c>
    </row>
    <row r="84" spans="2:2">
      <c r="B84" s="36">
        <f t="shared" si="1"/>
        <v>0.73958333333333248</v>
      </c>
    </row>
    <row r="85" spans="2:2">
      <c r="B85" s="36">
        <f t="shared" ref="B85:B86" si="2">B84+$D$2</f>
        <v>0.74305555555555469</v>
      </c>
    </row>
    <row r="86" spans="2:2">
      <c r="B86" s="36">
        <f t="shared" si="2"/>
        <v>0.7465277777777769</v>
      </c>
    </row>
    <row r="88" spans="2:2">
      <c r="B88" s="36">
        <f>B86+$D$2</f>
        <v>0.74999999999999911</v>
      </c>
    </row>
    <row r="89" spans="2:2">
      <c r="B89" s="36">
        <f t="shared" ref="B89:B99" si="3">B88+$D$2</f>
        <v>0.75347222222222132</v>
      </c>
    </row>
    <row r="90" spans="2:2">
      <c r="B90" s="36">
        <f t="shared" si="3"/>
        <v>0.75694444444444353</v>
      </c>
    </row>
    <row r="91" spans="2:2">
      <c r="B91" s="36">
        <f t="shared" si="3"/>
        <v>0.76041666666666574</v>
      </c>
    </row>
    <row r="92" spans="2:2">
      <c r="B92" s="36">
        <f t="shared" si="3"/>
        <v>0.76388888888888795</v>
      </c>
    </row>
    <row r="93" spans="2:2">
      <c r="B93" s="36">
        <f t="shared" si="3"/>
        <v>0.76736111111111016</v>
      </c>
    </row>
    <row r="94" spans="2:2">
      <c r="B94" s="36">
        <f t="shared" si="3"/>
        <v>0.77083333333333237</v>
      </c>
    </row>
    <row r="95" spans="2:2">
      <c r="B95" s="36">
        <f t="shared" si="3"/>
        <v>0.77430555555555458</v>
      </c>
    </row>
    <row r="96" spans="2:2">
      <c r="B96" s="36">
        <f t="shared" si="3"/>
        <v>0.77777777777777679</v>
      </c>
    </row>
    <row r="97" spans="2:2">
      <c r="B97" s="36">
        <f t="shared" si="3"/>
        <v>0.781249999999999</v>
      </c>
    </row>
    <row r="98" spans="2:2">
      <c r="B98" s="36">
        <f t="shared" si="3"/>
        <v>0.78472222222222121</v>
      </c>
    </row>
    <row r="99" spans="2:2">
      <c r="B99" s="36">
        <f t="shared" si="3"/>
        <v>0.78819444444444342</v>
      </c>
    </row>
    <row r="101" spans="2:2">
      <c r="B101" s="36">
        <f>B99+$D$2</f>
        <v>0.79166666666666563</v>
      </c>
    </row>
    <row r="102" spans="2:2">
      <c r="B102" s="36">
        <f t="shared" ref="B102:B112" si="4">B101+$D$2</f>
        <v>0.79513888888888784</v>
      </c>
    </row>
    <row r="103" spans="2:2">
      <c r="B103" s="36">
        <f t="shared" si="4"/>
        <v>0.79861111111111005</v>
      </c>
    </row>
    <row r="104" spans="2:2">
      <c r="B104" s="36">
        <f t="shared" si="4"/>
        <v>0.80208333333333226</v>
      </c>
    </row>
    <row r="105" spans="2:2">
      <c r="B105" s="36">
        <f t="shared" si="4"/>
        <v>0.80555555555555447</v>
      </c>
    </row>
    <row r="106" spans="2:2">
      <c r="B106" s="36">
        <f t="shared" si="4"/>
        <v>0.80902777777777668</v>
      </c>
    </row>
    <row r="107" spans="2:2">
      <c r="B107" s="36">
        <f t="shared" si="4"/>
        <v>0.81249999999999889</v>
      </c>
    </row>
    <row r="108" spans="2:2">
      <c r="B108" s="36">
        <f t="shared" si="4"/>
        <v>0.8159722222222211</v>
      </c>
    </row>
    <row r="109" spans="2:2">
      <c r="B109" s="36">
        <f t="shared" si="4"/>
        <v>0.81944444444444331</v>
      </c>
    </row>
    <row r="110" spans="2:2">
      <c r="B110" s="36">
        <f t="shared" si="4"/>
        <v>0.82291666666666552</v>
      </c>
    </row>
    <row r="111" spans="2:2">
      <c r="B111" s="36">
        <f t="shared" si="4"/>
        <v>0.82638888888888773</v>
      </c>
    </row>
    <row r="112" spans="2:2">
      <c r="B112" s="36">
        <f t="shared" si="4"/>
        <v>0.82986111111110994</v>
      </c>
    </row>
    <row r="114" spans="2:2">
      <c r="B114" s="36">
        <f>B112+$D$2</f>
        <v>0.83333333333333215</v>
      </c>
    </row>
    <row r="115" spans="2:2">
      <c r="B115" s="36">
        <f t="shared" ref="B115:B125" si="5">B114+$D$2</f>
        <v>0.83680555555555436</v>
      </c>
    </row>
    <row r="116" spans="2:2">
      <c r="B116" s="36">
        <f t="shared" si="5"/>
        <v>0.84027777777777657</v>
      </c>
    </row>
    <row r="117" spans="2:2">
      <c r="B117" s="36">
        <f t="shared" si="5"/>
        <v>0.84374999999999878</v>
      </c>
    </row>
    <row r="118" spans="2:2">
      <c r="B118" s="36">
        <f t="shared" si="5"/>
        <v>0.84722222222222099</v>
      </c>
    </row>
    <row r="119" spans="2:2">
      <c r="B119" s="36">
        <f t="shared" si="5"/>
        <v>0.8506944444444432</v>
      </c>
    </row>
    <row r="120" spans="2:2">
      <c r="B120" s="36">
        <f t="shared" si="5"/>
        <v>0.85416666666666541</v>
      </c>
    </row>
    <row r="121" spans="2:2">
      <c r="B121" s="36">
        <f t="shared" si="5"/>
        <v>0.85763888888888762</v>
      </c>
    </row>
    <row r="122" spans="2:2">
      <c r="B122" s="36">
        <f t="shared" si="5"/>
        <v>0.86111111111110983</v>
      </c>
    </row>
    <row r="123" spans="2:2">
      <c r="B123" s="36">
        <f t="shared" si="5"/>
        <v>0.86458333333333204</v>
      </c>
    </row>
    <row r="124" spans="2:2">
      <c r="B124" s="36">
        <f t="shared" si="5"/>
        <v>0.86805555555555425</v>
      </c>
    </row>
    <row r="125" spans="2:2">
      <c r="B125" s="36">
        <f t="shared" si="5"/>
        <v>0.87152777777777646</v>
      </c>
    </row>
    <row r="127" spans="2:2">
      <c r="B127" s="36">
        <f>B125+$D$2</f>
        <v>0.87499999999999867</v>
      </c>
    </row>
    <row r="128" spans="2:2">
      <c r="B128" s="36">
        <f t="shared" ref="B128:B139" si="6">B127+$D$2</f>
        <v>0.87847222222222088</v>
      </c>
    </row>
    <row r="129" spans="2:2">
      <c r="B129" s="36">
        <f t="shared" si="6"/>
        <v>0.88194444444444309</v>
      </c>
    </row>
    <row r="130" spans="2:2">
      <c r="B130" s="36">
        <f t="shared" si="6"/>
        <v>0.8854166666666653</v>
      </c>
    </row>
    <row r="131" spans="2:2">
      <c r="B131" s="36">
        <f t="shared" si="6"/>
        <v>0.88888888888888751</v>
      </c>
    </row>
    <row r="132" spans="2:2">
      <c r="B132" s="36">
        <f t="shared" si="6"/>
        <v>0.89236111111110972</v>
      </c>
    </row>
    <row r="133" spans="2:2">
      <c r="B133" s="36">
        <f t="shared" si="6"/>
        <v>0.89583333333333193</v>
      </c>
    </row>
    <row r="134" spans="2:2">
      <c r="B134" s="36">
        <f t="shared" si="6"/>
        <v>0.89930555555555414</v>
      </c>
    </row>
    <row r="135" spans="2:2">
      <c r="B135" s="36">
        <f t="shared" si="6"/>
        <v>0.90277777777777635</v>
      </c>
    </row>
    <row r="136" spans="2:2">
      <c r="B136" s="36">
        <f t="shared" si="6"/>
        <v>0.90624999999999856</v>
      </c>
    </row>
    <row r="137" spans="2:2">
      <c r="B137" s="36">
        <f t="shared" si="6"/>
        <v>0.90972222222222077</v>
      </c>
    </row>
    <row r="138" spans="2:2">
      <c r="B138" s="36">
        <f t="shared" si="6"/>
        <v>0.91319444444444298</v>
      </c>
    </row>
    <row r="139" spans="2:2">
      <c r="B139" s="36">
        <f t="shared" si="6"/>
        <v>0.91666666666666519</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g 3 O C V r X / h p a m A A A A 9 g A A A B I A H A B D b 2 5 m a W c v U G F j a 2 F n Z S 5 4 b W w g o h g A K K A U A A A A A A A A A A A A A A A A A A A A A A A A A A A A h Y / N C o J A H M R f R f b u f l k Q 8 n c 9 d I s E I Y i u i 2 2 6 p W u 4 a + u 7 d e i R e o W M s r p 1 n J n f w M z 9 e o N 0 a O r g o j q r W 5 M g h i k K l C n a v T Z l g n p 3 C B c o F Z D L 4 i R L F Y y w s f F g d Y I q 5 8 4 x I d 5 7 7 C P c d i X h l D K y y 9 a b o l K N D L W x T p p C o U 9 r / 7 + F B G x f Y w T H j M 0 x n 0 W Y A p l M y L T 5 A n z c + 0 x / T F j 2 t e s 7 J Y 4 y X O V A J g n k / U E 8 A F B L A w Q U A A I A C A C D c 4 J 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3 O C V i i K R 7 g O A A A A E Q A A A B M A H A B G b 3 J t d W x h c y 9 T Z W N 0 a W 9 u M S 5 t I K I Y A C i g F A A A A A A A A A A A A A A A A A A A A A A A A A A A A C t O T S 7 J z M 9 T C I b Q h t Y A U E s B A i 0 A F A A C A A g A g 3 O C V r X / h p a m A A A A 9 g A A A B I A A A A A A A A A A A A A A A A A A A A A A E N v b m Z p Z y 9 Q Y W N r Y W d l L n h t b F B L A Q I t A B Q A A g A I A I N z g l Y P y u m r p A A A A O k A A A A T A A A A A A A A A A A A A A A A A P I A A A B b Q 2 9 u d G V u d F 9 U e X B l c 1 0 u e G 1 s U E s B A i 0 A F A A C A A g A g 3 O C V i 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K N N 9 t 7 7 g J L q I E 1 6 Z D y 9 E A A A A A A A g A A A A A A E G Y A A A A B A A A g A A A A I s 6 v b Z T f x p p L p R Y l 9 C 4 r u 5 6 7 V g W 0 n I 8 8 e 9 E 9 D s 4 F f u Q A A A A A D o A A A A A C A A A g A A A A e E Z s O T 3 o J n X R S 4 y g V R N B C D h p x E b w D c d 8 o C I Y 2 K i 7 / C Z Q A A A A O M t r m L u u M h K 0 J k 2 M y d x T V Q X p U C T n s O U q x n C 0 V 5 j 3 8 F W N L + Z p 3 E N Y k p r T Q u l D A a r L n i D W V d R I F 9 P P h O A 1 O G 6 a y 5 B 8 R H 1 H 5 u G 2 i S t 1 k M n e S G h A A A A A D h L v g M X o B J a Z g g D 3 4 M I T Q T c W W U T 9 f a d n j Z + p B 3 p W S t f q 6 h B q p v c d V 7 J v Z Z r i F s 0 R j F p c a z f v l J Z 2 0 W U P P H k z Z w = = < / D a t a M a s h u p > 
</file>

<file path=customXml/itemProps1.xml><?xml version="1.0" encoding="utf-8"?>
<ds:datastoreItem xmlns:ds="http://schemas.openxmlformats.org/officeDocument/2006/customXml" ds:itemID="{26BF74E4-3FD6-4A00-9DD0-289CE161985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印刷プレビュー</vt:lpstr>
      <vt:lpstr>データシート</vt:lpstr>
      <vt:lpstr>データシート２</vt:lpstr>
      <vt:lpstr>時間選択</vt:lpstr>
      <vt:lpstr>印刷プレビュー!Print_Area</vt:lpstr>
    </vt:vector>
  </TitlesOfParts>
  <Company>UNITCOM 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akr</dc:creator>
  <cp:lastModifiedBy>akr754 akr754</cp:lastModifiedBy>
  <cp:lastPrinted>2024-11-19T05:14:28Z</cp:lastPrinted>
  <dcterms:created xsi:type="dcterms:W3CDTF">2012-09-17T05:28:21Z</dcterms:created>
  <dcterms:modified xsi:type="dcterms:W3CDTF">2026-07-31T20:30:14Z</dcterms:modified>
</cp:coreProperties>
</file>